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LAS PALMAS\"/>
    </mc:Choice>
  </mc:AlternateContent>
  <workbookProtection workbookAlgorithmName="SHA-512" workbookHashValue="0Je1XS+aj4/7lcNzoCzfz4DsQA7sZl9w4qjtpGHh1Drq4JI3r83OWnVhflrm5V9XpvrxC/i2Tab1a7UPGV3vPw==" workbookSaltValue="DIs0tuknK8ixo6slgZjYq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E17" i="13" s="1"/>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D18" i="2"/>
  <c r="T13" i="12"/>
  <c r="BD18" i="13"/>
  <c r="B13" i="2" l="1"/>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H15" i="7" s="1"/>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K12" i="12" s="1"/>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K10" i="12" l="1"/>
  <c r="BI20"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<sst xmlns="http://schemas.openxmlformats.org/spreadsheetml/2006/main" count="2513" uniqueCount="1027">
  <si>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</si>
  <si>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</si>
  <si>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</si>
  <si>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</si>
  <si>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</si>
  <si>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</si>
  <si>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</si>
  <si>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</si>
  <si>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</si>
  <si>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</si>
  <si>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</si>
  <si>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</si>
  <si>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</si>
  <si>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</si>
  <si>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</si>
  <si>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</si>
  <si>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</si>
  <si>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</si>
  <si>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</si>
  <si>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</si>
  <si>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</si>
  <si>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</si>
  <si>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</si>
  <si>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</si>
  <si>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</si>
  <si>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</si>
  <si>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</si>
  <si>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</si>
  <si>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</si>
  <si>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</si>
  <si>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</si>
  <si>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</si>
  <si>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</si>
  <si>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</si>
  <si>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</si>
  <si>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</si>
  <si>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</si>
  <si>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</si>
  <si>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</si>
  <si>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</si>
  <si>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</si>
  <si>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</si>
  <si>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</si>
  <si>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</si>
  <si>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</si>
  <si>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</si>
  <si>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</si>
  <si>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</si>
  <si>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</si>
  <si>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</si>
  <si>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</si>
  <si>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</si>
  <si>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</si>
  <si>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</si>
  <si>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</si>
  <si>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</si>
  <si>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</si>
  <si>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</si>
  <si>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</si>
  <si>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</si>
  <si>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</si>
  <si>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</si>
  <si>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</si>
  <si>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</si>
  <si>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</si>
  <si>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</si>
  <si>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</si>
  <si>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</si>
  <si>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</si>
  <si>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</si>
  <si>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</si>
  <si>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</si>
  <si>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</si>
  <si>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</si>
  <si>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</si>
  <si>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</si>
  <si>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</si>
  <si>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</si>
  <si>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</si>
  <si>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</si>
  <si>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</si>
  <si>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</si>
  <si>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</si>
  <si>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</si>
  <si>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</si>
  <si>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</si>
  <si>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</si>
  <si>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</si>
  <si>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</si>
  <si>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</si>
  <si>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</si>
  <si>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</si>
  <si>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</si>
  <si>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</si>
  <si>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</si>
  <si>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</si>
  <si>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</si>
  <si>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</si>
  <si>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</si>
  <si>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</si>
  <si>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</si>
  <si>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</si>
  <si>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</si>
  <si>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</si>
  <si>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</si>
  <si>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</si>
  <si>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</si>
  <si>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</si>
  <si>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</si>
  <si>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</si>
  <si>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</si>
  <si>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</si>
  <si>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</si>
  <si>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</si>
  <si>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</si>
  <si>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</si>
  <si>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</si>
  <si>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</si>
  <si>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</si>
  <si>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</si>
  <si>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</si>
  <si>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</si>
  <si>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</si>
  <si>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</si>
  <si>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</si>
  <si>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</si>
  <si>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</si>
  <si>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</si>
  <si>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</si>
  <si>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</si>
  <si>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</si>
  <si>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</si>
  <si>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</si>
  <si>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</si>
  <si>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</si>
  <si>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</si>
  <si>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</si>
  <si>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</si>
  <si>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</si>
  <si>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</si>
  <si>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</si>
  <si>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</si>
  <si>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</si>
  <si>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</si>
  <si>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</si>
  <si>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</si>
  <si>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</si>
  <si>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</si>
  <si>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</si>
  <si>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</si>
  <si>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</si>
  <si>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</si>
  <si>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</si>
  <si>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</si>
  <si>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</si>
  <si>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</si>
  <si>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</si>
  <si>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</si>
  <si>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</si>
  <si>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</si>
  <si>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</si>
  <si>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</si>
  <si>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</si>
  <si>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</si>
  <si>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</si>
  <si>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</si>
  <si>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</si>
  <si>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</si>
  <si>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</si>
  <si>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</si>
  <si>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</si>
  <si>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</si>
  <si>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</si>
  <si>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</si>
  <si>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</si>
  <si>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</si>
  <si>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</si>
  <si>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</si>
  <si>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</si>
  <si>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</si>
  <si>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</si>
  <si>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</si>
  <si>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</si>
  <si>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</si>
  <si>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</si>
  <si>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</si>
  <si>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</si>
  <si>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</si>
  <si>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</si>
  <si>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</si>
  <si>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</si>
  <si>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</si>
  <si>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</si>
  <si>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</si>
  <si>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</si>
  <si>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</si>
  <si>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</si>
  <si>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</si>
  <si>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</si>
  <si>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</si>
  <si>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</si>
  <si>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</si>
  <si>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</si>
  <si>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</si>
  <si>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</si>
  <si>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</si>
  <si>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</si>
  <si>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</si>
  <si>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</si>
  <si>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</si>
  <si>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</si>
  <si>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</si>
  <si>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</si>
  <si>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</si>
  <si>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</si>
  <si>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</si>
  <si>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</si>
  <si>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</si>
  <si>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</si>
  <si>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</si>
  <si>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</si>
  <si>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</si>
  <si>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</si>
  <si>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</si>
  <si>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</si>
  <si>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</si>
  <si>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</si>
  <si>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</si>
  <si>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</si>
  <si>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</si>
  <si>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</si>
  <si>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</si>
  <si>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</si>
  <si>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</si>
  <si>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</si>
  <si>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</si>
  <si>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</si>
  <si>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</si>
  <si>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</si>
  <si>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</si>
  <si>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</si>
  <si>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</si>
  <si>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</si>
  <si>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</si>
  <si>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</si>
  <si>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</si>
  <si>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</si>
  <si>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</si>
  <si>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</si>
  <si>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</si>
  <si>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</si>
  <si>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</si>
  <si>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</si>
  <si>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</si>
  <si>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</si>
  <si>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</si>
  <si>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</si>
  <si>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</si>
  <si>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</si>
  <si>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</si>
  <si>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</si>
  <si>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</si>
  <si>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</si>
  <si>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</si>
  <si>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</si>
  <si>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</si>
  <si>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</si>
  <si>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</si>
  <si>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</si>
  <si>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</si>
  <si>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</si>
  <si>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</si>
  <si>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</si>
  <si>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</si>
  <si>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</si>
  <si>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</si>
  <si>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</si>
  <si>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</si>
  <si>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</si>
  <si>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</si>
  <si>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</si>
  <si>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</si>
  <si>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</si>
  <si>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</si>
  <si>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</si>
  <si>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</si>
  <si>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</si>
  <si>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</si>
  <si>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</si>
  <si>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</si>
  <si>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</si>
  <si>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</si>
  <si>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</si>
  <si>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</si>
  <si>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</si>
  <si>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</si>
  <si>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</si>
  <si>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</si>
  <si>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</si>
  <si>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</si>
  <si>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</si>
  <si>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</si>
  <si>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</si>
  <si>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</si>
  <si>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</si>
  <si>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</si>
  <si>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</si>
  <si>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</si>
  <si>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</si>
  <si>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</si>
  <si>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</si>
  <si>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</si>
  <si>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</si>
  <si>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</si>
  <si>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</si>
  <si>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</si>
  <si>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</si>
  <si>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</si>
  <si>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</si>
  <si>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</si>
  <si>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</si>
  <si>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</si>
  <si>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</si>
  <si>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</si>
  <si>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</si>
  <si>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</si>
  <si>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</si>
  <si>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</si>
  <si>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</si>
  <si>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</si>
  <si>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</si>
  <si>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</si>
  <si>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</si>
  <si>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</si>
  <si>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</si>
  <si>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</si>
  <si>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</si>
  <si>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</si>
  <si>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</si>
  <si>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</si>
  <si>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</si>
  <si>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</si>
  <si>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</si>
  <si>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</si>
  <si>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</si>
  <si>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</si>
  <si>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</si>
  <si>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</si>
  <si>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</si>
  <si>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</si>
  <si>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</si>
  <si>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</si>
  <si>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</si>
  <si>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</si>
  <si>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</si>
  <si>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</si>
  <si>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</si>
  <si>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</si>
  <si>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</si>
  <si>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</si>
  <si>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</si>
  <si>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</si>
  <si>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</si>
  <si>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</si>
  <si>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</si>
  <si>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</si>
  <si>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</si>
  <si>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</si>
  <si>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</si>
  <si>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</si>
  <si>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</si>
  <si>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</si>
  <si>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</si>
  <si>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</si>
  <si>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</si>
  <si>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</si>
  <si>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</si>
  <si>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</si>
  <si>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</si>
  <si>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</si>
  <si>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</si>
  <si>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</si>
  <si>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</si>
  <si>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</si>
  <si>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</si>
  <si>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</si>
  <si>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</si>
  <si>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</si>
  <si>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</si>
  <si>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</si>
  <si>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</si>
  <si>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</si>
  <si>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</si>
  <si>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</si>
  <si>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</si>
  <si>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</si>
  <si>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</si>
  <si>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</si>
  <si>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</si>
  <si>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</si>
  <si>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</si>
  <si>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</si>
  <si>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</si>
  <si>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</si>
  <si>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</si>
  <si>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</si>
  <si>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</si>
  <si>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</si>
  <si>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</si>
  <si>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</si>
  <si>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</si>
  <si>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</si>
  <si>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</si>
  <si>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</si>
  <si>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</si>
  <si>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</si>
  <si>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</si>
  <si>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</si>
  <si>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</si>
  <si>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</si>
  <si>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</si>
  <si>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</si>
  <si>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</si>
  <si>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</si>
  <si>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</si>
  <si>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</si>
  <si>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</si>
  <si>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</si>
  <si>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</si>
  <si>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</si>
  <si>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</si>
  <si>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</si>
  <si>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</si>
  <si>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</si>
  <si>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</si>
  <si>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</si>
  <si>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</si>
  <si>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</si>
  <si>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</si>
  <si>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</si>
  <si>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</si>
  <si>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</si>
  <si>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</si>
  <si>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</si>
  <si>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</si>
  <si>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</si>
  <si>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</si>
  <si>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</si>
  <si>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</si>
  <si>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</si>
  <si>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</si>
  <si>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</si>
  <si>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</si>
  <si>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</si>
  <si>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</si>
  <si>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</si>
  <si>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</si>
  <si>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</si>
  <si>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</si>
  <si>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</si>
  <si>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</si>
  <si>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</si>
  <si>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</si>
  <si>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</si>
  <si>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</si>
  <si>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</si>
  <si>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</si>
  <si>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</si>
  <si>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</si>
  <si>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</si>
  <si>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</si>
  <si>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</si>
  <si>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</si>
  <si>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</si>
  <si>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</si>
  <si>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</si>
  <si>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</si>
  <si>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</si>
  <si>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</si>
  <si>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</si>
  <si>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</si>
  <si>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</si>
  <si>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</si>
  <si>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</si>
  <si>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</si>
  <si>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</si>
  <si>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</si>
  <si>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</si>
  <si>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</si>
  <si>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</si>
  <si>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</si>
  <si>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</si>
  <si>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</si>
  <si>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</si>
  <si>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</si>
  <si>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</si>
  <si>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</si>
  <si>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</si>
  <si>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</si>
  <si>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</si>
  <si>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</si>
  <si>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</si>
  <si>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</si>
  <si>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</si>
  <si>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</si>
  <si>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</si>
  <si>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</si>
  <si>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</si>
  <si>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</si>
  <si>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</si>
  <si>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</si>
  <si>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</si>
  <si>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</si>
  <si>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</si>
  <si>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</si>
  <si>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</si>
  <si>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</si>
  <si>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</si>
  <si>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</si>
  <si>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</si>
  <si>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</si>
  <si>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</si>
  <si>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</si>
  <si>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</si>
  <si>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</si>
  <si>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</si>
  <si>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</si>
  <si>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</si>
  <si>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</si>
  <si>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</si>
  <si>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</si>
  <si>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</si>
  <si>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</si>
  <si>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</si>
  <si>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</si>
  <si>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</si>
  <si>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</si>
  <si>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</si>
  <si>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</si>
  <si>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</si>
  <si>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</si>
  <si>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</si>
  <si>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</si>
  <si>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</si>
  <si>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</si>
  <si>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</si>
  <si>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</si>
  <si>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</si>
  <si>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</si>
  <si>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</si>
  <si>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</si>
  <si>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</si>
  <si>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</si>
  <si>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</si>
  <si>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</si>
  <si>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</si>
  <si>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</si>
  <si>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</si>
  <si>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</si>
  <si>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</si>
  <si>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</si>
  <si>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</si>
  <si>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</si>
  <si>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</si>
  <si>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</si>
  <si>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</si>
  <si>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</si>
  <si>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</si>
  <si>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</si>
  <si>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</si>
  <si>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</si>
  <si>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</si>
  <si>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</si>
  <si>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</si>
  <si>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</si>
  <si>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</si>
  <si>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</si>
  <si>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</si>
  <si>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</si>
  <si>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</si>
  <si>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</si>
  <si>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</si>
  <si>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</si>
  <si>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</si>
  <si>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</si>
  <si>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</si>
  <si>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</si>
  <si>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</si>
  <si>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</si>
  <si>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</si>
  <si>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</si>
  <si>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</si>
  <si>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</si>
  <si>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</si>
  <si>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</si>
  <si>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</si>
  <si>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</si>
  <si>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</si>
  <si>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</si>
  <si>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</si>
  <si>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</si>
  <si>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</si>
  <si>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</si>
  <si>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</si>
  <si>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</si>
  <si>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</si>
  <si>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</si>
  <si>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</si>
  <si>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</si>
  <si>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</si>
  <si>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</si>
  <si>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</si>
  <si>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</si>
  <si>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</si>
  <si>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</si>
  <si>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</si>
  <si>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</si>
  <si>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</si>
  <si>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</si>
  <si>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</si>
  <si>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</si>
  <si>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</si>
  <si>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</si>
  <si>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</si>
  <si>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</si>
  <si>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</si>
  <si>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</si>
  <si>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</si>
  <si>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</si>
  <si>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</si>
  <si>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</si>
  <si>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</si>
  <si>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</si>
  <si>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</si>
  <si>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</si>
  <si>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</si>
  <si>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</si>
  <si>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</si>
  <si>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</si>
  <si>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</si>
  <si>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</si>
  <si>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</si>
  <si>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</si>
  <si>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</si>
  <si>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</si>
  <si>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</si>
  <si>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</si>
  <si>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</si>
  <si>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</si>
  <si>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</si>
  <si>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</si>
  <si>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</si>
  <si>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</si>
  <si>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</si>
  <si>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</si>
  <si>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</si>
  <si>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</si>
  <si>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</si>
  <si>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</si>
  <si>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</si>
  <si>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</si>
  <si>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</si>
  <si>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</si>
  <si>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</si>
  <si>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</si>
  <si>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</si>
  <si>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</si>
  <si>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</si>
  <si>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</si>
  <si>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</si>
  <si>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</si>
  <si>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</si>
  <si>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</si>
  <si>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</si>
  <si>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</si>
  <si>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</si>
  <si>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</si>
  <si>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</si>
  <si>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</si>
  <si>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</si>
  <si>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</si>
  <si>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</si>
  <si>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</si>
  <si>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</si>
  <si>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</si>
  <si>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</si>
  <si>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</si>
  <si>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</si>
  <si>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</si>
  <si>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</si>
  <si>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</si>
  <si>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</si>
  <si>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</si>
  <si>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</si>
  <si>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</si>
  <si>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</si>
  <si>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</si>
  <si>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</si>
  <si>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</si>
  <si>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</si>
  <si>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</si>
  <si>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</si>
  <si>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</si>
  <si>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</si>
  <si>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</si>
  <si>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</si>
  <si>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</si>
  <si>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</si>
  <si>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</si>
  <si>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</si>
  <si>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</si>
  <si>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</si>
  <si>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</si>
  <si>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</si>
  <si>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</si>
  <si>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</si>
  <si>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</si>
  <si>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</si>
  <si>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</si>
  <si>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</si>
  <si>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</si>
  <si>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</si>
  <si>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</si>
  <si>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</si>
  <si>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</si>
  <si>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</si>
  <si>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</si>
  <si>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</si>
  <si>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</si>
  <si>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</si>
  <si>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</si>
  <si>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</si>
  <si>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</si>
  <si>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</si>
  <si>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</si>
  <si>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</si>
  <si>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</si>
  <si>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</si>
  <si>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</si>
  <si>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</si>
  <si>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</si>
  <si>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</si>
  <si>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</si>
  <si>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</si>
  <si>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</si>
  <si>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</si>
  <si>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</si>
  <si>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</si>
  <si>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</si>
  <si>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</si>
  <si>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</si>
  <si>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</si>
  <si>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</si>
  <si>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</si>
  <si>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</si>
  <si>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</si>
  <si>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</si>
  <si>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</si>
  <si>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</si>
  <si>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</si>
  <si>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</si>
  <si>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</si>
  <si>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</si>
  <si>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</si>
  <si>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</si>
  <si>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</si>
  <si>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</si>
  <si>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</si>
  <si>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</si>
  <si>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</si>
  <si>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</si>
  <si>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</si>
  <si>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</si>
  <si>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</si>
  <si>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</si>
  <si>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</si>
  <si>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</si>
  <si>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</si>
  <si>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</si>
  <si>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</si>
  <si>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</si>
  <si>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</si>
  <si>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</si>
  <si>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</si>
  <si>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</si>
  <si>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</si>
  <si>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</si>
  <si>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</si>
  <si>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</si>
  <si>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</si>
  <si>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</si>
  <si>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</si>
  <si>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</si>
  <si>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</si>
  <si>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</si>
  <si>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</si>
  <si>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</si>
  <si>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</si>
  <si>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</si>
  <si>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</si>
  <si>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</si>
  <si>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</si>
  <si>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</si>
  <si>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</si>
  <si>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</si>
  <si>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</si>
  <si>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</si>
  <si>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</si>
  <si>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</si>
  <si>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</si>
  <si>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</si>
  <si>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</si>
  <si>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</si>
  <si>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</si>
  <si>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</si>
  <si>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</si>
  <si>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</si>
  <si>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</si>
  <si>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</si>
  <si>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</si>
  <si>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</si>
  <si>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</si>
  <si>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</si>
  <si>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</si>
  <si>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</si>
  <si>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</si>
  <si>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</si>
  <si>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</si>
  <si>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</si>
  <si>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</si>
  <si>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</si>
  <si>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</si>
  <si>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</si>
  <si>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</si>
  <si>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</si>
  <si>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</si>
  <si>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</si>
  <si>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</si>
  <si>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</si>
  <si>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</si>
  <si>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</si>
  <si>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</si>
  <si>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</si>
  <si>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</si>
  <si>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</si>
  <si>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</si>
  <si>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</si>
  <si>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</si>
  <si>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</si>
  <si>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</si>
  <si>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</si>
  <si>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</si>
  <si>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</si>
  <si>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</si>
  <si>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</si>
  <si>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</si>
  <si>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</si>
  <si>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</si>
  <si>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</si>
  <si>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</si>
  <si>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</si>
  <si>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</si>
  <si>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</si>
  <si>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</si>
  <si>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</si>
  <si>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</si>
  <si>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</si>
  <si>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</si>
  <si>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</si>
  <si>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</si>
  <si>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</si>
  <si>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</si>
  <si>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</si>
  <si>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</si>
  <si>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</si>
  <si>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</si>
  <si>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</si>
  <si>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</si>
  <si>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</si>
  <si>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</si>
  <si>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</si>
  <si>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</si>
  <si>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</si>
  <si>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</si>
  <si>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</si>
  <si>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</si>
  <si>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</si>
  <si>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</si>
  <si>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</si>
  <si>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</si>
  <si>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</si>
  <si>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</si>
  <si>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</si>
  <si>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</si>
  <si>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</si>
  <si>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</si>
  <si>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</si>
  <si>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</si>
  <si>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</si>
  <si>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</si>
  <si>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</si>
  <si>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</si>
  <si>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</si>
  <si>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</si>
  <si>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</si>
  <si>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</si>
  <si>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</si>
  <si>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</si>
  <si>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</si>
  <si>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</si>
  <si>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</si>
  <si>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</si>
  <si>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</si>
  <si>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</si>
  <si>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</si>
  <si>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</si>
  <si>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</si>
  <si>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</si>
  <si>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</si>
  <si>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</si>
  <si>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</si>
  <si>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</si>
  <si>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</si>
  <si>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</si>
  <si>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</si>
  <si>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</si>
  <si>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</si>
  <si>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</si>
  <si>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</si>
  <si>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</si>
  <si>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</si>
  <si>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</si>
  <si>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</si>
  <si>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</si>
  <si>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</si>
  <si>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</si>
  <si>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</si>
  <si>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</si>
  <si>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</si>
  <si>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</si>
  <si>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</si>
  <si>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</si>
  <si>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</si>
  <si>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</si>
  <si>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</si>
  <si>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</si>
  <si>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</si>
  <si>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</si>
  <si>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</si>
  <si>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</si>
  <si>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</si>
  <si>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</si>
  <si>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</si>
  <si>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</si>
  <si>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</si>
  <si>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</si>
  <si>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</si>
  <si>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</si>
  <si>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</si>
  <si>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</si>
  <si>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</si>
  <si>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</si>
  <si>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</si>
  <si>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</si>
  <si>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</si>
  <si>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</si>
  <si>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</si>
  <si>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</si>
  <si>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</si>
  <si>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</si>
  <si>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</si>
  <si>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</si>
  <si>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</si>
  <si>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</si>
  <si>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</si>
  <si>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</si>
  <si>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</si>
  <si>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</si>
  <si>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</si>
  <si>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</si>
  <si>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</si>
  <si>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</si>
  <si>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</si>
  <si>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</si>
  <si>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</si>
  <si>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</si>
  <si>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</si>
  <si>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</si>
  <si>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</si>
  <si>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</si>
  <si>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</si>
  <si>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</si>
  <si>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</si>
  <si>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</si>
  <si>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</si>
  <si>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</si>
  <si>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</si>
  <si>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</si>
  <si>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</si>
  <si>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</si>
  <si>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</si>
  <si>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</si>
  <si>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</si>
  <si>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</si>
  <si>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</si>
  <si>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</si>
  <si>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</si>
  <si>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</si>
  <si>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</si>
  <si>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</si>
  <si>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</si>
  <si>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</si>
  <si>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</si>
  <si>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</si>
  <si>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</si>
  <si>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</si>
  <si>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</si>
  <si>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</si>
  <si>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</si>
  <si>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</si>
  <si>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</si>
  <si>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</si>
  <si>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CANARIAS</t>
  </si>
  <si>
    <t>Provincias</t>
  </si>
  <si>
    <t>LAS PALMAS</t>
  </si>
  <si>
    <t>Resumenes por Partidos Judiciales</t>
  </si>
  <si>
    <t>TELDE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</si>
</sst>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tXSto8Aea7hJx3BgZyRgUdKQbjjgg27DXhM+omZZy+pFN34K19VHKXj3Ga7TqMUARDOCxKRGYlmt1aDZ9G28OA==" saltValue="oKFcAahiTMU3ZabExkdRw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CANARIAS</v>
      </c>
      <c r="C2" s="374"/>
      <c r="D2" s="374"/>
      <c r="E2" s="374"/>
      <c r="F2" s="374"/>
    </row>
    <row r="3" spans="1:69" ht="19.5">
      <c r="A3" s="389" t="s">
        <v>115</v>
      </c>
      <c r="B3" s="390" t="str">
        <f>Criterios!A10 &amp;"  "&amp;Criterios!B10</f>
        <v>Provincias  LAS PALMAS</v>
      </c>
      <c r="D3" s="374"/>
      <c r="E3" s="374"/>
      <c r="F3" s="374"/>
      <c r="BQ3" s="470"/>
    </row>
    <row r="4" spans="1:69" ht="13.5" thickBot="1">
      <c r="A4" s="374"/>
      <c r="B4" s="390" t="str">
        <f>Criterios!A11 &amp;"  "&amp;Criterios!B11</f>
        <v>Resumenes por Partidos Judiciales  TELDE</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6</v>
      </c>
      <c r="C9" s="402">
        <f>IF(ISNUMBER(IF(J_V="SI",Datos!I9,Datos!I9+Datos!Y9)),IF(J_V="SI",Datos!I9,Datos!I9+Datos!Y9)," - ")</f>
        <v>13046</v>
      </c>
      <c r="D9" s="403">
        <f>IF(ISNUMBER(C9/Datos!BH9),C9/Datos!BH9," - ")</f>
        <v>2174.3333333333335</v>
      </c>
      <c r="E9" s="402">
        <f>IF(ISNUMBER(IF(J_V="SI",Datos!J9,Datos!J9+Datos!Z9)),IF(J_V="SI",Datos!J9,Datos!J9+Datos!Z9)," - ")</f>
        <v>4091</v>
      </c>
      <c r="F9" s="403">
        <f>IF(ISNUMBER(E9/B9),E9/B9," - ")</f>
        <v>681.83333333333337</v>
      </c>
      <c r="G9" s="402">
        <f>IF(ISNUMBER(IF(J_V="SI",Datos!K9,Datos!K9+Datos!AA9)),IF(J_V="SI",Datos!K9,Datos!K9+Datos!AA9)," - ")</f>
        <v>3303</v>
      </c>
      <c r="H9" s="403">
        <f>IF(ISNUMBER(G9/B9),G9/B9," - ")</f>
        <v>550.5</v>
      </c>
      <c r="I9" s="402">
        <f>IF(ISNUMBER(IF(J_V="SI",Datos!L9,Datos!L9+Datos!AB9)),IF(J_V="SI",Datos!L9,Datos!L9+Datos!AB9)," - ")</f>
        <v>13834</v>
      </c>
      <c r="J9" s="403">
        <f>IF(ISNUMBER(I9/B9),I9/B9," - ")</f>
        <v>2305.6666666666665</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31</v>
      </c>
      <c r="D10" s="403">
        <f>IF(ISNUMBER(C10/Datos!BH10),C10/Datos!BH10," - ")</f>
        <v>31</v>
      </c>
      <c r="E10" s="402">
        <f>IF(ISNUMBER(Datos!J10),Datos!J10," - ")</f>
        <v>0</v>
      </c>
      <c r="F10" s="403">
        <f>IF(ISNUMBER(E10/B10),E10/B10," - ")</f>
        <v>0</v>
      </c>
      <c r="G10" s="402">
        <f>IF(ISNUMBER(Datos!K10),Datos!K10," - ")</f>
        <v>0</v>
      </c>
      <c r="H10" s="403">
        <f>IF(ISNUMBER(G10/B10),G10/B10," - ")</f>
        <v>0</v>
      </c>
      <c r="I10" s="402">
        <f>IF(ISNUMBER(Datos!L10),Datos!L10," - ")</f>
        <v>31</v>
      </c>
      <c r="J10" s="403">
        <f>IF(ISNUMBER(I10/B10),I10/B10," - ")</f>
        <v>31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6</v>
      </c>
      <c r="C13" s="846">
        <f>SUBTOTAL(9,C8:C12)</f>
        <v>13077</v>
      </c>
      <c r="D13" s="847" t="str">
        <f>IF(ISNUMBER(C13/Datos!BI13),C13/Datos!BI13," - ")</f>
        <v xml:space="preserve"> - </v>
      </c>
      <c r="E13" s="846">
        <f>SUBTOTAL(9,E8:E12)</f>
        <v>4091</v>
      </c>
      <c r="F13" s="847">
        <f>IF(ISNUMBER(E13/B13),E13/B13," - ")</f>
        <v>681.83333333333337</v>
      </c>
      <c r="G13" s="846">
        <f>SUBTOTAL(9,G8:G12)</f>
        <v>3303</v>
      </c>
      <c r="H13" s="847">
        <f>IF(ISNUMBER(G13/B13),G13/B13," - ")</f>
        <v>550.5</v>
      </c>
      <c r="I13" s="846">
        <f>SUBTOTAL(9,I8:I12)</f>
        <v>13865</v>
      </c>
      <c r="J13" s="847">
        <f>IF(ISNUMBER(I13/B13),I13/B13," - ")</f>
        <v>2310.8333333333335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3</v>
      </c>
      <c r="C15" s="402">
        <f>IF(ISNUMBER(IF(D_I="SI",Datos!I15,Datos!I15+Datos!AC15)),IF(D_I="SI",Datos!I15,Datos!I15+Datos!AC15)," - ")</f>
        <v>3107</v>
      </c>
      <c r="D15" s="403">
        <f>IF(ISNUMBER(C15/Datos!BH15),C15/Datos!BH15," - ")</f>
        <v>1035.6666666666667</v>
      </c>
      <c r="E15" s="402">
        <f>IF(ISNUMBER(IF(D_I="SI",Datos!J15,Datos!J15+Datos!AD15)),IF(D_I="SI",Datos!J15,Datos!J15+Datos!AD15)," - ")</f>
        <v>2074</v>
      </c>
      <c r="F15" s="403">
        <f>IF(ISNUMBER(E15/B15),E15/B15," - ")</f>
        <v>691.33333333333337</v>
      </c>
      <c r="G15" s="402">
        <f>IF(ISNUMBER(IF(D_I="SI",Datos!K15,Datos!K15+Datos!AE15)),IF(D_I="SI",Datos!K15,Datos!K15+Datos!AE15)," - ")</f>
        <v>2538</v>
      </c>
      <c r="H15" s="403">
        <f>IF(ISNUMBER(G15/B15),G15/B15," - ")</f>
        <v>846</v>
      </c>
      <c r="I15" s="402">
        <f>IF(ISNUMBER(IF(D_I="SI",Datos!L15,Datos!L15+Datos!AF15)),IF(D_I="SI",Datos!L15,Datos!L15+Datos!AF15)," - ")</f>
        <v>2713</v>
      </c>
      <c r="J15" s="403">
        <f>IF(ISNUMBER(I15/B15),I15/B15," - ")</f>
        <v>904.33333333333337</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f>IF(ISNUMBER(IF(D_I="SI",Datos!I17,Datos!I17+Datos!AC17)),IF(D_I="SI",Datos!I17,Datos!I17+Datos!AC17)," - ")</f>
        <v>1</v>
      </c>
      <c r="D17" s="403" t="str">
        <f>IF(ISNUMBER(C17/Datos!BH17),C17/Datos!BH17," - ")</f>
        <v xml:space="preserve"> - </v>
      </c>
      <c r="E17" s="402">
        <f>IF(ISNUMBER(IF(D_I="SI",Datos!J17,Datos!J17+Datos!AD17)),IF(D_I="SI",Datos!J17,Datos!J17+Datos!AD17)," - ")</f>
        <v>0</v>
      </c>
      <c r="F17" s="403" t="str">
        <f>IF(ISNUMBER(E17/B17),E17/B17," - ")</f>
        <v xml:space="preserve"> - </v>
      </c>
      <c r="G17" s="402">
        <f>IF(ISNUMBER(IF(D_I="SI",Datos!K17,Datos!K17+Datos!AE17)),IF(D_I="SI",Datos!K17,Datos!K17+Datos!AE17)," - ")</f>
        <v>0</v>
      </c>
      <c r="H17" s="403" t="str">
        <f>IF(ISNUMBER(G17/B17),G17/B17," - ")</f>
        <v xml:space="preserve"> - </v>
      </c>
      <c r="I17" s="402">
        <f>IF(ISNUMBER(IF(D_I="SI",Datos!L17,Datos!L17+Datos!AF17)),IF(D_I="SI",Datos!L17,Datos!L17+Datos!AF17)," - ")</f>
        <v>1</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56</v>
      </c>
      <c r="D18" s="403">
        <f>IF(ISNUMBER(C18/Datos!BH18),C18/Datos!BH18," - ")</f>
        <v>56</v>
      </c>
      <c r="E18" s="402">
        <f>IF(ISNUMBER(IF(D_I="SI",Datos!J18,Datos!J18+Datos!AD18)),IF(D_I="SI",Datos!J18,Datos!J18+Datos!AD18)," - ")</f>
        <v>0</v>
      </c>
      <c r="F18" s="403">
        <f>IF(ISNUMBER(E18/B18),E18/B18," - ")</f>
        <v>0</v>
      </c>
      <c r="G18" s="402">
        <f>IF(ISNUMBER(IF(D_I="SI",Datos!K18,Datos!K18+Datos!AE18)),IF(D_I="SI",Datos!K18,Datos!K18+Datos!AE18)," - ")</f>
        <v>1</v>
      </c>
      <c r="H18" s="403">
        <f>IF(ISNUMBER(G18/B18),G18/B18," - ")</f>
        <v>1</v>
      </c>
      <c r="I18" s="402">
        <f>IF(ISNUMBER(IF(D_I="SI",Datos!L18,Datos!L18+Datos!AF18)),IF(D_I="SI",Datos!L18,Datos!L18+Datos!AF18)," - ")</f>
        <v>55</v>
      </c>
      <c r="J18" s="403">
        <f>IF(ISNUMBER(I18/B18),I18/B18," - ")</f>
        <v>55</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3</v>
      </c>
      <c r="C19" s="846">
        <f>SUBTOTAL(9,C14:C18)</f>
        <v>3164</v>
      </c>
      <c r="D19" s="847" t="str">
        <f>IF(ISNUMBER(C19/Datos!BI19),C19/Datos!BI19," - ")</f>
        <v xml:space="preserve"> - </v>
      </c>
      <c r="E19" s="846">
        <f>SUBTOTAL(9,E14:E18)</f>
        <v>2074</v>
      </c>
      <c r="F19" s="847">
        <f>IF(ISNUMBER(E19/B19),E19/B19," - ")</f>
        <v>691.33333333333337</v>
      </c>
      <c r="G19" s="846">
        <f>SUBTOTAL(9,G14:G18)</f>
        <v>2539</v>
      </c>
      <c r="H19" s="847">
        <f>IF(ISNUMBER(G19/B19),G19/B19," - ")</f>
        <v>846.33333333333337</v>
      </c>
      <c r="I19" s="846">
        <f>SUBTOTAL(9,I14:I18)</f>
        <v>2769</v>
      </c>
      <c r="J19" s="847">
        <f>IF(ISNUMBER(I19/B19),I19/B19," - ")</f>
        <v>923</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9</v>
      </c>
      <c r="C20" s="791">
        <f>SUBTOTAL(9,C9:C19)</f>
        <v>16241</v>
      </c>
      <c r="D20" s="792" t="str">
        <f>IF(ISNUMBER(C20/Datos!BI20),C20/Datos!BI20," - ")</f>
        <v xml:space="preserve"> - </v>
      </c>
      <c r="E20" s="791">
        <f>SUBTOTAL(9,E9:E19)</f>
        <v>6165</v>
      </c>
      <c r="F20" s="792">
        <f>IF(ISNUMBER(E20/B20),E20/B20," - ")</f>
        <v>685</v>
      </c>
      <c r="G20" s="791">
        <f>SUBTOTAL(9,G9:G19)</f>
        <v>5842</v>
      </c>
      <c r="H20" s="792">
        <f>IF(ISNUMBER(G20/B20),G20/B20," - ")</f>
        <v>649.11111111111109</v>
      </c>
      <c r="I20" s="791">
        <f>SUBTOTAL(9,I9:I19)</f>
        <v>16634</v>
      </c>
      <c r="J20" s="792">
        <f>IF(ISNUMBER(I20/B20),I20/B20," - ")</f>
        <v>1848.2222222222222</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VTPK+orXRW13l7g/WVYmu4d0M5mE1D7rQ/TJkB9/SDNhBuhrNvW/WYyAaFIr31AaBKg9aqJUiDuqkmQtGswHTg==" saltValue="f+VH3tVruu9+BQthptLcl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CANARIAS</v>
      </c>
      <c r="C2" s="374"/>
      <c r="E2" s="374"/>
      <c r="F2" s="374"/>
      <c r="G2" s="374"/>
      <c r="H2" s="374"/>
    </row>
    <row r="3" spans="1:15" ht="39">
      <c r="A3" s="414" t="s">
        <v>219</v>
      </c>
      <c r="B3" s="390" t="str">
        <f>Criterios!A10 &amp;"  "&amp;Criterios!B10</f>
        <v>Provincias  LAS PALMAS</v>
      </c>
      <c r="C3" s="414"/>
      <c r="F3" s="374"/>
      <c r="G3" s="374"/>
      <c r="H3" s="374"/>
    </row>
    <row r="4" spans="1:15" ht="13.5" thickBot="1">
      <c r="A4" s="374"/>
      <c r="B4" s="390" t="str">
        <f>Criterios!A11 &amp;"  "&amp;Criterios!B11</f>
        <v>Resumenes por Partidos Judiciales  TELDE</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6</v>
      </c>
      <c r="D9" s="402">
        <f>Datos!BK9</f>
        <v>0</v>
      </c>
      <c r="E9" s="402">
        <f>Datos!AQ9</f>
        <v>6</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3</v>
      </c>
      <c r="D15" s="402">
        <f>Datos!BK15</f>
        <v>0</v>
      </c>
      <c r="E15" s="402">
        <f>Datos!AQ15</f>
        <v>3</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f4oHOlroPv7bSVxxHn7pN89MW8P9YLzJJd7cYJ/WksaEXgw8gQUyol4jT87DhA6Vx7sEDE4EO0BVmpwjVLxT6A==" saltValue="F7Zm90gXrc39TdIAkhDsE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CANARIAS</v>
      </c>
      <c r="C2" s="390"/>
    </row>
    <row r="3" spans="1:78" ht="19.5">
      <c r="A3" s="424" t="s">
        <v>11</v>
      </c>
      <c r="B3" s="390" t="str">
        <f>Criterios!A10 &amp;"  "&amp;Criterios!B10</f>
        <v>Provincias  LAS PALMAS</v>
      </c>
      <c r="C3" s="390"/>
      <c r="D3" s="424"/>
      <c r="BZ3" s="470"/>
    </row>
    <row r="4" spans="1:78" ht="13.5" thickBot="1">
      <c r="B4" s="390" t="str">
        <f>Criterios!A11 &amp;"  "&amp;Criterios!B11</f>
        <v>Resumenes por Partidos Judiciales  TELDE</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6</v>
      </c>
      <c r="C9" s="409">
        <f>Datos!AQ9</f>
        <v>6</v>
      </c>
      <c r="D9" s="402">
        <f>IF(ISNUMBER(Datos!M9),Datos!M9," - ")</f>
        <v>1115</v>
      </c>
      <c r="E9" s="403">
        <f t="shared" ref="E9:E13" si="0">IF(ISNUMBER(D9/B9),D9/B9," - ")</f>
        <v>185.83333333333334</v>
      </c>
      <c r="F9" s="402">
        <f>IF(ISNUMBER(Datos!N9),Datos!N9," - ")</f>
        <v>1642</v>
      </c>
      <c r="G9" s="403">
        <f t="shared" ref="G9:G13" si="1">IF(ISNUMBER(F9/B9),F9/B9," - ")</f>
        <v>273.66666666666669</v>
      </c>
      <c r="H9" s="402">
        <f>IF(ISNUMBER(Datos!O9),Datos!O9," - ")</f>
        <v>716</v>
      </c>
      <c r="I9" s="403">
        <f>IF(ISNUMBER(H9/B9),H9/B9," - ")</f>
        <v>119.33333333333333</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6</v>
      </c>
      <c r="C13" s="848">
        <f>Datos!AR13</f>
        <v>6</v>
      </c>
      <c r="D13" s="846">
        <f>SUBTOTAL(9,D9:D12)</f>
        <v>1115</v>
      </c>
      <c r="E13" s="847">
        <f t="shared" si="0"/>
        <v>185.83333333333334</v>
      </c>
      <c r="F13" s="846">
        <f>SUBTOTAL(9,F9:F12)</f>
        <v>1642</v>
      </c>
      <c r="G13" s="847">
        <f t="shared" si="1"/>
        <v>273.66666666666669</v>
      </c>
      <c r="H13" s="846">
        <f>SUBTOTAL(9,H9:H12)</f>
        <v>716</v>
      </c>
      <c r="I13" s="847">
        <f>IF(ISNUMBER(H13/B13),H13/B13," - ")</f>
        <v>119.33333333333333</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3</v>
      </c>
      <c r="C15" s="427">
        <f>Datos!AQ15</f>
        <v>3</v>
      </c>
      <c r="D15" s="402">
        <f>IF(ISNUMBER(Datos!M15),Datos!M15," - ")</f>
        <v>341</v>
      </c>
      <c r="E15" s="403">
        <f t="shared" ref="E15:E19" si="3">IF(ISNUMBER(D15/B15),D15/B15," - ")</f>
        <v>113.66666666666667</v>
      </c>
      <c r="F15" s="402">
        <f>IF(ISNUMBER(Datos!N15),Datos!N15," - ")</f>
        <v>1458</v>
      </c>
      <c r="G15" s="403">
        <f t="shared" ref="G15:G19" si="4">IF(ISNUMBER(F15/B15),F15/B15," - ")</f>
        <v>486</v>
      </c>
      <c r="H15" s="402">
        <f>IF(ISNUMBER(Datos!O15),Datos!O15," - ")</f>
        <v>0</v>
      </c>
      <c r="I15" s="403">
        <f t="shared" ref="I15:I18" si="5">IF(ISNUMBER(H15/B15),H15/B15," - ")</f>
        <v>0</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f>IF(ISNUMBER(Datos!M17),Datos!M17," - ")</f>
        <v>0</v>
      </c>
      <c r="E17" s="403" t="str">
        <f t="shared" si="3"/>
        <v xml:space="preserve"> - </v>
      </c>
      <c r="F17" s="402">
        <f>IF(ISNUMBER(Datos!N17),Datos!N17," - ")</f>
        <v>0</v>
      </c>
      <c r="G17" s="403" t="str">
        <f t="shared" si="4"/>
        <v xml:space="preserve"> - </v>
      </c>
      <c r="H17" s="402">
        <f>IF(ISNUMBER(Datos!O17),Datos!O17," - ")</f>
        <v>0</v>
      </c>
      <c r="I17" s="403" t="str">
        <f t="shared" si="5"/>
        <v xml:space="preserve"> - </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0</v>
      </c>
      <c r="G18" s="403">
        <f>IF(ISNUMBER(F18/B18),F18/B18," - ")</f>
        <v>0</v>
      </c>
      <c r="H18" s="402">
        <f>IF(ISNUMBER(Datos!O18),Datos!O18," - ")</f>
        <v>0</v>
      </c>
      <c r="I18" s="403">
        <f t="shared" si="5"/>
        <v>0</v>
      </c>
      <c r="BZ18" s="1181">
        <f>Datos!EZ18</f>
        <v>0</v>
      </c>
    </row>
    <row r="19" spans="1:78" ht="14.25" thickTop="1" thickBot="1">
      <c r="A19" s="845" t="str">
        <f>Datos!A19</f>
        <v>TOTAL</v>
      </c>
      <c r="B19" s="846">
        <f>Datos!AP19</f>
        <v>3</v>
      </c>
      <c r="C19" s="848">
        <f>Datos!AR19</f>
        <v>3</v>
      </c>
      <c r="D19" s="846">
        <f>SUBTOTAL(9,D15:D18)</f>
        <v>341</v>
      </c>
      <c r="E19" s="847">
        <f t="shared" si="3"/>
        <v>113.66666666666667</v>
      </c>
      <c r="F19" s="846">
        <f>SUBTOTAL(9,F15:F18)</f>
        <v>1458</v>
      </c>
      <c r="G19" s="847">
        <f t="shared" si="4"/>
        <v>486</v>
      </c>
      <c r="H19" s="846">
        <f>SUBTOTAL(9,H15:H18)</f>
        <v>0</v>
      </c>
      <c r="I19" s="847">
        <f>IF(ISNUMBER(H19/B19),H19/B19," - ")</f>
        <v>0</v>
      </c>
      <c r="BZ19" s="1181"/>
    </row>
    <row r="20" spans="1:78" ht="14.25" thickTop="1" thickBot="1">
      <c r="A20" s="790" t="str">
        <f>Datos!A20</f>
        <v>TOTAL JURISDICCIONES</v>
      </c>
      <c r="B20" s="791">
        <f>Datos!AP20</f>
        <v>9</v>
      </c>
      <c r="C20" s="791">
        <f>Datos!AR20</f>
        <v>9</v>
      </c>
      <c r="D20" s="791">
        <f>SUBTOTAL(9,D8:D19)</f>
        <v>1456</v>
      </c>
      <c r="E20" s="792">
        <f>IF(ISNUMBER(D20/B20),D20/B20," - ")</f>
        <v>161.77777777777777</v>
      </c>
      <c r="F20" s="791">
        <f>SUBTOTAL(9,F8:F19)</f>
        <v>3100</v>
      </c>
      <c r="G20" s="792">
        <f>IF(ISNUMBER(F20/B20),F20/B20," - ")</f>
        <v>344.44444444444446</v>
      </c>
      <c r="H20" s="791">
        <f>SUBTOTAL(9,H8:H19)</f>
        <v>716</v>
      </c>
      <c r="I20" s="792">
        <f>IF(ISNUMBER(H20/B20),H20/B20," - ")</f>
        <v>79.555555555555557</v>
      </c>
    </row>
    <row r="23" spans="1:78">
      <c r="A23" s="390" t="str">
        <f>Criterios!A4</f>
        <v>Fecha Informe: 06 oct. 2026</v>
      </c>
    </row>
    <row r="28" spans="1:78">
      <c r="A28" s="413"/>
    </row>
  </sheetData>
  <sheetProtection algorithmName="SHA-512" hashValue="bI/tq85tZqdVRrUoSTZvEV95GSNj3M8P/e97KxtUhupDUpi/hRM9U8kA6th7DN7wqNLqgBgTEwUGyeh5RYgKsA==" saltValue="fQwIK0cdYLimHF9QL8zH2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CANARIAS</v>
      </c>
    </row>
    <row r="3" spans="1:4" ht="19.5">
      <c r="A3" s="428" t="s">
        <v>32</v>
      </c>
      <c r="B3" s="390" t="str">
        <f>Criterios!A10 &amp;"  "&amp;Criterios!B10</f>
        <v>Provincias  LAS PALMAS</v>
      </c>
    </row>
    <row r="4" spans="1:4" ht="13.5" thickBot="1">
      <c r="B4" s="390" t="str">
        <f>Criterios!A11 &amp;"  "&amp;Criterios!B11</f>
        <v>Resumenes por Partidos Judiciales  TELDE</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599</v>
      </c>
      <c r="C9" s="433">
        <f>IF(ISNUMBER(Datos!Q9),Datos!Q9," - ")</f>
        <v>216</v>
      </c>
      <c r="D9" s="407">
        <f>IF(ISNUMBER(Datos!R9),Datos!R9," - ")</f>
        <v>12372</v>
      </c>
    </row>
    <row r="10" spans="1:4">
      <c r="A10" s="401" t="str">
        <f>Datos!A10</f>
        <v>Sección De Violencia sobre la Mujer del TI</v>
      </c>
      <c r="B10" s="432">
        <f>IF(ISNUMBER(Datos!P10),Datos!P10," - ")</f>
        <v>0</v>
      </c>
      <c r="C10" s="433">
        <f>IF(ISNUMBER(Datos!Q10),Datos!Q10," - ")</f>
        <v>0</v>
      </c>
      <c r="D10" s="407">
        <f>IF(ISNUMBER(Datos!R10),Datos!R10," - ")</f>
        <v>95</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599</v>
      </c>
      <c r="C13" s="850">
        <f>SUBTOTAL(9,C9:C12)</f>
        <v>216</v>
      </c>
      <c r="D13" s="848">
        <f>SUBTOTAL(9,D9:D12)</f>
        <v>12467</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83</v>
      </c>
      <c r="C15" s="433">
        <f>IF(ISNUMBER(Datos!Q15),Datos!Q15," - ")</f>
        <v>210</v>
      </c>
      <c r="D15" s="407">
        <f>IF(ISNUMBER(Datos!R15),Datos!R15," - ")</f>
        <v>342</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0</v>
      </c>
      <c r="C17" s="433">
        <f>IF(ISNUMBER(Datos!Q17),Datos!Q17," - ")</f>
        <v>0</v>
      </c>
      <c r="D17" s="407">
        <f>IF(ISNUMBER(Datos!R17),Datos!R17," - ")</f>
        <v>0</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83</v>
      </c>
      <c r="C19" s="850">
        <f>SUBTOTAL(9,C15:C18)</f>
        <v>210</v>
      </c>
      <c r="D19" s="848">
        <f>SUBTOTAL(9,D15:D18)</f>
        <v>342</v>
      </c>
    </row>
    <row r="20" spans="1:4" ht="16.5" customHeight="1" thickTop="1" thickBot="1">
      <c r="A20" s="790" t="str">
        <f>Datos!A20</f>
        <v>TOTAL JURISDICCIONES</v>
      </c>
      <c r="B20" s="795">
        <f>SUBTOTAL(9,B8:B19)</f>
        <v>682</v>
      </c>
      <c r="C20" s="796">
        <f>SUBTOTAL(9,C8:C19)</f>
        <v>426</v>
      </c>
      <c r="D20" s="797">
        <f>SUBTOTAL(9,D8:D19)</f>
        <v>12809</v>
      </c>
    </row>
    <row r="21" spans="1:4" ht="7.5" customHeight="1"/>
    <row r="22" spans="1:4" ht="6" customHeight="1"/>
    <row r="23" spans="1:4">
      <c r="A23" s="390" t="str">
        <f>Criterios!A4</f>
        <v>Fecha Informe: 06 oct. 2026</v>
      </c>
    </row>
    <row r="28" spans="1:4">
      <c r="A28" s="413"/>
    </row>
  </sheetData>
  <sheetProtection algorithmName="SHA-512" hashValue="u4raXuCqeprr+agwkF1kT36y6z0o3jNTOT7tO1joxwYREkg4FV/0PE5FfB2LHz+MQ5q8/ThipxgfkKEACQcZDA==" saltValue="7D9YMHTi4aX4R8V5bZiFB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CANARIAS</v>
      </c>
    </row>
    <row r="3" spans="1:11" ht="18.75" customHeight="1">
      <c r="A3" s="428" t="s">
        <v>118</v>
      </c>
      <c r="B3" s="390" t="str">
        <f>Criterios!A10 &amp;"  "&amp;Criterios!B10</f>
        <v>Provincias  LAS PALMAS</v>
      </c>
    </row>
    <row r="4" spans="1:11" ht="10.5" customHeight="1" thickBot="1">
      <c r="B4" s="390" t="str">
        <f>Criterios!A11 &amp;"  "&amp;Criterios!B11</f>
        <v>Resumenes por Partidos Judiciales  TELDE</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-6.907378335949764E-2</v>
      </c>
      <c r="C9" s="455">
        <f>IF(ISNUMBER(
   IF(J_V="SI",(Datos!J9-Datos!T9)/Datos!T9,(Datos!J9+Datos!Z9-(Datos!T9+Datos!AH9))/(Datos!T9+Datos!AH9))
     ),IF(J_V="SI",(Datos!J9-Datos!T9)/Datos!T9,(Datos!J9+Datos!Z9-(Datos!T9+Datos!AH9))/(Datos!T9+Datos!AH9))," - ")</f>
        <v>-0.12846186621218578</v>
      </c>
      <c r="D9" s="455">
        <f>IF(ISNUMBER(
   IF(J_V="SI",(Datos!K9-Datos!U9)/Datos!U9,(Datos!K9+Datos!AA9-(Datos!U9+Datos!AI9))/(Datos!U9+Datos!AI9))
     ),IF(J_V="SI",(Datos!K9-Datos!U9)/Datos!U9,(Datos!K9+Datos!AA9-(Datos!U9+Datos!AI9))/(Datos!U9+Datos!AI9))," - ")</f>
        <v>-0.38053263315828956</v>
      </c>
      <c r="E9" s="455">
        <f>IF(ISNUMBER(
   IF(J_V="SI",(Datos!L9-Datos!V9)/Datos!V9,(Datos!L9+Datos!AB9-(Datos!V9+Datos!AJ9))/(Datos!V9+Datos!AJ9))
     ),IF(J_V="SI",(Datos!L9-Datos!V9)/Datos!V9,(Datos!L9+Datos!AB9-(Datos!V9+Datos!AJ9))/(Datos!V9+Datos!AJ9))," - ")</f>
        <v>3.4240430622009571E-2</v>
      </c>
      <c r="F9" s="455">
        <f>IF(ISNUMBER((Datos!M9-Datos!W9)/Datos!W9),(Datos!M9-Datos!W9)/Datos!W9," - ")</f>
        <v>-0.23472889498970487</v>
      </c>
      <c r="G9" s="456">
        <f>IF(ISNUMBER((Datos!N9-Datos!X9)/Datos!X9),(Datos!N9-Datos!X9)/Datos!X9," - ")</f>
        <v>-0.42567331234697448</v>
      </c>
      <c r="H9" s="454">
        <f>IF(ISNUMBER(((NºAsuntos!G9/NºAsuntos!E9)-Datos!BD9)/Datos!BD9),((NºAsuntos!G9/NºAsuntos!E9)-Datos!BD9)/Datos!BD9," - ")</f>
        <v>-0.28922517234050632</v>
      </c>
      <c r="I9" s="455">
        <f>IF(ISNUMBER(((NºAsuntos!I9/NºAsuntos!G9)-Datos!BE9)/Datos!BE9),((NºAsuntos!I9/NºAsuntos!G9)-Datos!BE9)/Datos!BE9," - ")</f>
        <v>0.66956402545460347</v>
      </c>
      <c r="J9" s="460">
        <f>IF(ISNUMBER((('Resol  Asuntos'!D9/NºAsuntos!G9)-Datos!BF9)/Datos!BF9),(('Resol  Asuntos'!D9/NºAsuntos!G9)-Datos!BF9)/Datos!BF9," - ")</f>
        <v>-0.37043253099533135</v>
      </c>
      <c r="K9" s="461">
        <f>IF(ISNUMBER((((NºAsuntos!C9+NºAsuntos!E9)/NºAsuntos!G9)-Datos!BG9)/Datos!BG9),(((NºAsuntos!C9+NºAsuntos!E9)/NºAsuntos!G9)-Datos!BG9)/Datos!BG9," - ")</f>
        <v>0.47873040434470687</v>
      </c>
    </row>
    <row r="10" spans="1:11" ht="21">
      <c r="A10" s="401" t="str">
        <f>Datos!A10</f>
        <v>Sección De Violencia sobre la Mujer del TI</v>
      </c>
      <c r="B10" s="454">
        <f>IF(ISNUMBER((Datos!I10-Datos!S10)/Datos!S10),(Datos!I10-Datos!S10)/Datos!S10," - ")</f>
        <v>-0.65934065934065933</v>
      </c>
      <c r="C10" s="455" t="str">
        <f>IF(ISNUMBER((Datos!J10-Datos!T10)/Datos!T10),(Datos!J10-Datos!T10)/Datos!T10," - ")</f>
        <v xml:space="preserve"> - </v>
      </c>
      <c r="D10" s="455">
        <f>IF(ISNUMBER((Datos!K10-Datos!U10)/Datos!U10),(Datos!K10-Datos!U10)/Datos!U10," - ")</f>
        <v>-1</v>
      </c>
      <c r="E10" s="455">
        <f>IF(ISNUMBER((Datos!L10-Datos!V10)/Datos!V10),(Datos!L10-Datos!V10)/Datos!V10," - ")</f>
        <v>-0.40384615384615385</v>
      </c>
      <c r="F10" s="455">
        <f>IF(ISNUMBER((Datos!M10-Datos!W10)/Datos!W10),(Datos!M10-Datos!W10)/Datos!W10," - ")</f>
        <v>-1</v>
      </c>
      <c r="G10" s="456">
        <f>IF(ISNUMBER((Datos!N10-Datos!X10)/Datos!X10),(Datos!N10-Datos!X10)/Datos!X10," - ")</f>
        <v>-1</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-7.2881956752924498E-2</v>
      </c>
      <c r="C13" s="852">
        <f>IF(ISNUMBER(
   IF(J_V="SI",(Datos!J13-Datos!T13)/Datos!T13,(Datos!J13+Datos!Z13-(Datos!T13+Datos!AH13))/(Datos!T13+Datos!AH13))
     ),IF(J_V="SI",(Datos!J13-Datos!T13)/Datos!T13,(Datos!J13+Datos!Z13-(Datos!T13+Datos!AH13))/(Datos!T13+Datos!AH13))," - ")</f>
        <v>-0.12846186621218578</v>
      </c>
      <c r="D13" s="852">
        <f>IF(ISNUMBER(
   IF(J_V="SI",(Datos!K13-Datos!U13)/Datos!U13,(Datos!K13+Datos!AA13-(Datos!U13+Datos!AI13))/(Datos!U13+Datos!AI13))
     ),IF(J_V="SI",(Datos!K13-Datos!U13)/Datos!U13,(Datos!K13+Datos!AA13-(Datos!U13+Datos!AI13))/(Datos!U13+Datos!AI13))," - ")</f>
        <v>-0.38503072053621301</v>
      </c>
      <c r="E13" s="852">
        <f>IF(ISNUMBER(
   IF(J_V="SI",(Datos!L13-Datos!V13)/Datos!V13,(Datos!L13+Datos!AB13-(Datos!V13+Datos!AJ13))/(Datos!V13+Datos!AJ13))
     ),IF(J_V="SI",(Datos!L13-Datos!V13)/Datos!V13,(Datos!L13+Datos!AB13-(Datos!V13+Datos!AJ13))/(Datos!V13+Datos!AJ13))," - ")</f>
        <v>3.2543938039916592E-2</v>
      </c>
      <c r="F13" s="853">
        <f>IF(ISNUMBER((Datos!M13-Datos!W13)/Datos!W13),(Datos!M13-Datos!W13)/Datos!W13," - ")</f>
        <v>-0.25167785234899331</v>
      </c>
      <c r="G13" s="854">
        <f>IF(ISNUMBER((Datos!N13-Datos!X13)/Datos!X13),(Datos!N13-Datos!X13)/Datos!X13," - ")</f>
        <v>-0.42627533193570927</v>
      </c>
      <c r="H13" s="854">
        <f>IF(ISNUMBER(((NºAsuntos!G13/NºAsuntos!E13)-Datos!BD13)/Datos!BD13),((NºAsuntos!G13/NºAsuntos!E13)-Datos!BD13)/Datos!BD13," - ")</f>
        <v>-0.29438626306452792</v>
      </c>
      <c r="I13" s="854">
        <f>IF(ISNUMBER(((NºAsuntos!I13/NºAsuntos!G13)-Datos!BE13)/Datos!BE13),((NºAsuntos!I13/NºAsuntos!G13)-Datos!BE13)/Datos!BE13," - ")</f>
        <v>0.67901710300102691</v>
      </c>
      <c r="J13" s="854">
        <f>IF(ISNUMBER((('Resol  Asuntos'!D13/NºAsuntos!G13)-Datos!BF13)/Datos!BF13),(('Resol  Asuntos'!D13/NºAsuntos!G13)-Datos!BF13)/Datos!BF13," - ")</f>
        <v>-0.373064073944262</v>
      </c>
      <c r="K13" s="854">
        <f>IF(ISNUMBER((((NºAsuntos!C13+NºAsuntos!E13)/NºAsuntos!G13)-Datos!BG13)/Datos!BG13),(((NºAsuntos!C13+NºAsuntos!E13)/NºAsuntos!G13)-Datos!BG13)/Datos!BG13," - ")</f>
        <v>0.48501737640820203</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-6.0193587416817906E-2</v>
      </c>
      <c r="C15" s="455">
        <f>IF(ISNUMBER(
   IF(D_I="SI",(Datos!J15-Datos!T15)/Datos!T15,(Datos!J15+Datos!AD15-(Datos!T15+Datos!AL15))/(Datos!T15+Datos!AL15))
     ),IF(D_I="SI",(Datos!J15-Datos!T15)/Datos!T15,(Datos!J15+Datos!AD15-(Datos!T15+Datos!AL15))/(Datos!T15+Datos!AL15))," - ")</f>
        <v>-3.8924930491195553E-2</v>
      </c>
      <c r="D15" s="455">
        <f>IF(ISNUMBER(
   IF(D_I="SI",(Datos!K15-Datos!U15)/Datos!U15,(Datos!K15+Datos!AE15-(Datos!U15+Datos!AM15))/(Datos!U15+Datos!AM15))
     ),IF(D_I="SI",(Datos!K15-Datos!U15)/Datos!U15,(Datos!K15+Datos!AE15-(Datos!U15+Datos!AM15))/(Datos!U15+Datos!AM15))," - ")</f>
        <v>6.0593397409109906E-2</v>
      </c>
      <c r="E15" s="455">
        <f>IF(ISNUMBER(
   IF(D_I="SI",(Datos!L15-Datos!V15)/Datos!V15,(Datos!L15+Datos!AF15-(Datos!V15+Datos!AN15))/(Datos!V15+Datos!AN15))
     ),IF(D_I="SI",(Datos!L15-Datos!V15)/Datos!V15,(Datos!L15+Datos!AF15-(Datos!V15+Datos!AN15))/(Datos!V15+Datos!AN15))," - ")</f>
        <v>-0.11542223671340071</v>
      </c>
      <c r="F15" s="455">
        <f>IF(ISNUMBER((Datos!M15-Datos!W15)/Datos!W15),(Datos!M15-Datos!W15)/Datos!W15," - ")</f>
        <v>-0.10498687664041995</v>
      </c>
      <c r="G15" s="456">
        <f>IF(ISNUMBER((Datos!N15-Datos!X15)/Datos!X15),(Datos!N15-Datos!X15)/Datos!X15," - ")</f>
        <v>-5.3246753246753244E-2</v>
      </c>
      <c r="H15" s="454">
        <f>IF(ISNUMBER(((NºAsuntos!G15/NºAsuntos!E15)-Datos!BD15)/Datos!BD15),((NºAsuntos!G15/NºAsuntos!E15)-Datos!BD15)/Datos!BD15," - ")</f>
        <v>0.10354896413156182</v>
      </c>
      <c r="I15" s="455">
        <f>IF(ISNUMBER(((NºAsuntos!I15/NºAsuntos!G15)-Datos!BE15)/Datos!BE15),((NºAsuntos!I15/NºAsuntos!G15)-Datos!BE15)/Datos!BE15," - ")</f>
        <v>-0.16595957937555877</v>
      </c>
      <c r="J15" s="460">
        <f>IF(ISNUMBER((('Resol  Asuntos'!D15/NºAsuntos!G15)-Datos!BF15)/Datos!BF15),(('Resol  Asuntos'!D15/NºAsuntos!G15)-Datos!BF15)/Datos!BF15," - ")</f>
        <v>-0.15612040811683406</v>
      </c>
      <c r="K15" s="461">
        <f>IF(ISNUMBER((((NºAsuntos!C15+NºAsuntos!E15)/NºAsuntos!G15)-Datos!BG15)/Datos!BG15),(((NºAsuntos!C15+NºAsuntos!E15)/NºAsuntos!G15)-Datos!BG15)/Datos!BG15," - ")</f>
        <v>-0.10596610870550927</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f>IF(ISNUMBER(
   IF(D_I="SI",(Datos!L17-Datos!V17)/Datos!V17,(Datos!L17+Datos!AF17-(Datos!V17+Datos!AN17))/(Datos!V17+Datos!AN17))
     ),IF(D_I="SI",(Datos!L17-Datos!V17)/Datos!V17,(Datos!L17+Datos!AF17-(Datos!V17+Datos!AN17))/(Datos!V17+Datos!AN17))," - ")</f>
        <v>0</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-0.49549549549549549</v>
      </c>
      <c r="C18" s="455" t="str">
        <f>IF(ISNUMBER(
   IF(D_I="SI",(Datos!J18-Datos!T18)/Datos!T18,(Datos!J18+Datos!AD18-(Datos!T18+Datos!AL18))/(Datos!T18+Datos!AL18))
     ),IF(D_I="SI",(Datos!J18-Datos!T18)/Datos!T18,(Datos!J18+Datos!AD18-(Datos!T18+Datos!AL18))/(Datos!T18+Datos!AL18))," - ")</f>
        <v xml:space="preserve"> - </v>
      </c>
      <c r="D18" s="455">
        <f>IF(ISNUMBER(
   IF(D_I="SI",(Datos!K18-Datos!U18)/Datos!U18,(Datos!K18+Datos!AE18-(Datos!U18+Datos!AM18))/(Datos!U18+Datos!AM18))
     ),IF(D_I="SI",(Datos!K18-Datos!U18)/Datos!U18,(Datos!K18+Datos!AE18-(Datos!U18+Datos!AM18))/(Datos!U18+Datos!AM18))," - ")</f>
        <v>-0.96</v>
      </c>
      <c r="E18" s="455">
        <f>IF(ISNUMBER(
   IF(D_I="SI",(Datos!L18-Datos!V18)/Datos!V18,(Datos!L18+Datos!AF18-(Datos!V18+Datos!AN18))/(Datos!V18+Datos!AN18))
     ),IF(D_I="SI",(Datos!L18-Datos!V18)/Datos!V18,(Datos!L18+Datos!AF18-(Datos!V18+Datos!AN18))/(Datos!V18+Datos!AN18))," - ")</f>
        <v>-0.36046511627906974</v>
      </c>
      <c r="F18" s="455" t="str">
        <f>IF(ISNUMBER((Datos!M18-Datos!W18)/Datos!W18),(Datos!M18-Datos!W18)/Datos!W18," - ")</f>
        <v xml:space="preserve"> - </v>
      </c>
      <c r="G18" s="456">
        <f>IF(ISNUMBER((Datos!N18-Datos!X18)/Datos!X18),(Datos!N18-Datos!X18)/Datos!X18," - ")</f>
        <v>-1</v>
      </c>
      <c r="H18" s="454" t="str">
        <f>IF(ISNUMBER(((NºAsuntos!G18/NºAsuntos!E18)-Datos!BD18)/Datos!BD18),((NºAsuntos!G18/NºAsuntos!E18)-Datos!BD18)/Datos!BD18," - ")</f>
        <v xml:space="preserve"> - </v>
      </c>
      <c r="I18" s="455">
        <f>IF(ISNUMBER(((NºAsuntos!I18/NºAsuntos!G18)-Datos!BE18)/Datos!BE18),((NºAsuntos!I18/NºAsuntos!G18)-Datos!BE18)/Datos!BE18," - ")</f>
        <v>14.988372093023257</v>
      </c>
      <c r="J18" s="460" t="str">
        <f>IF(ISNUMBER((('Resol  Asuntos'!D18/NºAsuntos!G18)-Datos!BF18)/Datos!BF18),(('Resol  Asuntos'!D18/NºAsuntos!G18)-Datos!BF18)/Datos!BF18," - ")</f>
        <v xml:space="preserve"> - </v>
      </c>
      <c r="K18" s="461">
        <f>IF(ISNUMBER((((NºAsuntos!C18+NºAsuntos!E18)/NºAsuntos!G18)-Datos!BG18)/Datos!BG18),(((NºAsuntos!C18+NºAsuntos!E18)/NºAsuntos!G18)-Datos!BG18)/Datos!BG18," - ")</f>
        <v>11.612612612612612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-7.4312463428905795E-2</v>
      </c>
      <c r="C19" s="852">
        <f>IF(ISNUMBER(
   IF(Criterios!B14="SI",(Datos!J19-Datos!T19)/Datos!T19,(Datos!J19+Datos!AD19-(Datos!T19+Datos!AL19))/(Datos!T19+Datos!AL19))
     ),IF(Criterios!B14="SI",(Datos!J19-Datos!T19)/Datos!T19,(Datos!J19+Datos!AD19-(Datos!T19+Datos!AL19))/(Datos!T19+Datos!AL19))," - ")</f>
        <v>-3.8924930491195553E-2</v>
      </c>
      <c r="D19" s="852">
        <f>IF(ISNUMBER(
   IF(Criterios!B14="SI",(Datos!K19-Datos!U19)/Datos!U19,(Datos!K19+Datos!AE19-(Datos!U19+Datos!AM19))/(Datos!U19+Datos!AM19))
     ),IF(Criterios!B14="SI",(Datos!K19-Datos!U19)/Datos!U19,(Datos!K19+Datos!AE19-(Datos!U19+Datos!AM19))/(Datos!U19+Datos!AM19))," - ")</f>
        <v>5.0041356492969397E-2</v>
      </c>
      <c r="E19" s="852">
        <f>IF(ISNUMBER(
   IF(Criterios!B14="SI",(Datos!L19-Datos!V19)/Datos!V19,(Datos!L19+Datos!AF19-(Datos!V19+Datos!AN19))/(Datos!V19+Datos!AN19))
     ),IF(Criterios!B14="SI",(Datos!L19-Datos!V19)/Datos!V19,(Datos!L19+Datos!AF19-(Datos!V19+Datos!AN19))/(Datos!V19+Datos!AN19))," - ")</f>
        <v>-0.12206721623335447</v>
      </c>
      <c r="F19" s="853">
        <f>IF(ISNUMBER((Datos!M19-Datos!W19)/Datos!W19),(Datos!M19-Datos!W19)/Datos!W19," - ")</f>
        <v>-0.10498687664041995</v>
      </c>
      <c r="G19" s="854">
        <f>IF(ISNUMBER((Datos!N19-Datos!X19)/Datos!X19),(Datos!N19-Datos!X19)/Datos!X19," - ")</f>
        <v>-6.358381502890173E-2</v>
      </c>
      <c r="H19" s="854">
        <f>IF(ISNUMBER(((NºAsuntos!G19/NºAsuntos!E19)-Datos!BD19)/Datos!BD19),((NºAsuntos!G19/NºAsuntos!E19)-Datos!BD19)/Datos!BD19," - ")</f>
        <v>9.2569550294999095E-2</v>
      </c>
      <c r="I19" s="854">
        <f>IF(ISNUMBER(((NºAsuntos!I19/NºAsuntos!G19)-Datos!BE19)/Datos!BE19),((NºAsuntos!I19/NºAsuntos!G19)-Datos!BE19)/Datos!BE19," - ")</f>
        <v>-0.16390647059954749</v>
      </c>
      <c r="J19" s="854">
        <f>IF(ISNUMBER((('Resol  Asuntos'!D19/NºAsuntos!G19)-Datos!BF19)/Datos!BF19),(('Resol  Asuntos'!D19/NºAsuntos!G19)-Datos!BF19)/Datos!BF19," - ")</f>
        <v>-0.14764012119595718</v>
      </c>
      <c r="K19" s="854">
        <f>IF(ISNUMBER((((NºAsuntos!C19+NºAsuntos!E19)/NºAsuntos!G19)-Datos!BG19)/Datos!BG19),(((NºAsuntos!C19+NºAsuntos!E19)/NºAsuntos!G19)-Datos!BG19)/Datos!BG19," - ")</f>
        <v>-0.10538469319081448</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-7.3160988415225697E-2</v>
      </c>
      <c r="C20" s="799">
        <f>IF(ISNUMBER(
   IF(J_V="SI",(Datos!J20-Datos!T20)/Datos!T20,(Datos!J20+Datos!Z20-(Datos!T20+Datos!AH20))/(Datos!T20+Datos!AH20))
     ),IF(J_V="SI",(Datos!J20-Datos!T20)/Datos!T20,(Datos!J20+Datos!Z20-(Datos!T20+Datos!AH20))/(Datos!T20+Datos!AH20))," - ")</f>
        <v>-0.10026269702276708</v>
      </c>
      <c r="D20" s="799">
        <f>IF(ISNUMBER(
   IF(J_V="SI",(Datos!K20-Datos!U20)/Datos!U20,(Datos!K20+Datos!AA20-(Datos!U20+Datos!AI20))/(Datos!U20+Datos!AI20))
     ),IF(J_V="SI",(Datos!K20-Datos!U20)/Datos!U20,(Datos!K20+Datos!AA20-(Datos!U20+Datos!AI20))/(Datos!U20+Datos!AI20))," - ")</f>
        <v>-0.24996790345358838</v>
      </c>
      <c r="E20" s="799">
        <f>IF(ISNUMBER(
   IF(J_V="SI",(Datos!L20-Datos!V20)/Datos!V20,(Datos!L20+Datos!AB20-(Datos!V20+Datos!AJ20))/(Datos!V20+Datos!AJ20))
     ),IF(J_V="SI",(Datos!L20-Datos!V20)/Datos!V20,(Datos!L20+Datos!AB20-(Datos!V20+Datos!AJ20))/(Datos!V20+Datos!AJ20))," - ")</f>
        <v>3.1359305270775538E-3</v>
      </c>
      <c r="F20" s="800">
        <f>IF(ISNUMBER((Datos!M20-Datos!W20)/Datos!W20),(Datos!M20-Datos!W20)/Datos!W20," - ")</f>
        <v>-0.22180652057723144</v>
      </c>
      <c r="G20" s="801">
        <f>IF(ISNUMBER((Datos!N20-Datos!X20)/Datos!X20),(Datos!N20-Datos!X20)/Datos!X20," - ")</f>
        <v>-0.29848381986874861</v>
      </c>
      <c r="H20" s="802">
        <f>IF(ISNUMBER((Tasas!B20-Datos!BD20)/Datos!BD20),(Tasas!B20-Datos!BD20)/Datos!BD20," - ")</f>
        <v>-0.16638768442238239</v>
      </c>
      <c r="I20" s="803">
        <f>IF(ISNUMBER((Tasas!C20-Datos!BE20)/Datos!BE20),(Tasas!C20-Datos!BE20)/Datos!BE20," - ")</f>
        <v>0.33745733702078162</v>
      </c>
      <c r="J20" s="804">
        <f>IF(ISNUMBER((Tasas!D20-Datos!BF20)/Datos!BF20),(Tasas!D20-Datos!BF20)/Datos!BF20," - ")</f>
        <v>-0.4068896251874784</v>
      </c>
      <c r="K20" s="804">
        <f>IF(ISNUMBER((Tasas!E20-Datos!BG20)/Datos!BG20),(Tasas!E20-Datos!BG20)/Datos!BG20," - ")</f>
        <v>0.22557490146507611</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9NR0p4OEtF4z8E6hfrRT2bo318tRHmv+TeI6EPY8LiScMLp0zsD+k9ajp7h4lciPi7VJeAXxveX9BimdFYHUDA==" saltValue="5rf6NWTQeORTRb/rbf0oS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CANARIAS</v>
      </c>
    </row>
    <row r="3" spans="1:7" ht="19.5">
      <c r="A3" s="435" t="s">
        <v>12</v>
      </c>
      <c r="B3" s="390" t="str">
        <f>Criterios!A10 &amp;"  "&amp;Criterios!B10</f>
        <v>Provincias  LAS PALMAS</v>
      </c>
    </row>
    <row r="4" spans="1:7" ht="11.25" customHeight="1" thickBot="1">
      <c r="B4" s="390" t="str">
        <f>Criterios!A11 &amp;"  "&amp;Criterios!B11</f>
        <v>Resumenes por Partidos Judiciales  TELDE</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0.80738205817648501</v>
      </c>
      <c r="C9" s="442">
        <f>IF(ISNUMBER(NºAsuntos!I9/NºAsuntos!G9),NºAsuntos!I9/NºAsuntos!G9," - ")</f>
        <v>4.1883136542537089</v>
      </c>
      <c r="D9" s="443">
        <f>IF(ISNUMBER('Resol  Asuntos'!D9/NºAsuntos!G9),'Resol  Asuntos'!D9/NºAsuntos!G9," - ")</f>
        <v>0.33757190432939754</v>
      </c>
      <c r="E9" s="444">
        <f>IF(ISNUMBER((NºAsuntos!C9+NºAsuntos!E9)/NºAsuntos!G9),(NºAsuntos!C9+NºAsuntos!E9)/NºAsuntos!G9," - ")</f>
        <v>5.1883136542537089</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0.80738205817648501</v>
      </c>
      <c r="C13" s="856">
        <f>IF(ISNUMBER(NºAsuntos!I13/NºAsuntos!G13),NºAsuntos!I13/NºAsuntos!G13," - ")</f>
        <v>4.1976990614592795</v>
      </c>
      <c r="D13" s="857">
        <f>IF(ISNUMBER('Resol  Asuntos'!D13/NºAsuntos!G13),'Resol  Asuntos'!D13/NºAsuntos!G13," - ")</f>
        <v>0.33757190432939754</v>
      </c>
      <c r="E13" s="858">
        <f>IF(ISNUMBER((NºAsuntos!C13+NºAsuntos!E13)/NºAsuntos!G13),(NºAsuntos!C13+NºAsuntos!E13)/NºAsuntos!G13," - ")</f>
        <v>5.1976990614592795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1.2237222757955641</v>
      </c>
      <c r="C15" s="442">
        <f>IF(ISNUMBER(NºAsuntos!I15/NºAsuntos!G15),NºAsuntos!I15/NºAsuntos!G15," - ")</f>
        <v>1.0689519306540582</v>
      </c>
      <c r="D15" s="443">
        <f>IF(ISNUMBER('Resol  Asuntos'!D15/NºAsuntos!G15),'Resol  Asuntos'!D15/NºAsuntos!G15," - ")</f>
        <v>0.13435776201733649</v>
      </c>
      <c r="E15" s="444">
        <f>IF(ISNUMBER((NºAsuntos!C15+NºAsuntos!E15)/NºAsuntos!G15),(NºAsuntos!C15+NºAsuntos!E15)/NºAsuntos!G15," - ")</f>
        <v>2.041371158392435</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t="str">
        <f>IF(ISNUMBER(NºAsuntos!G18/NºAsuntos!E18),NºAsuntos!G18/NºAsuntos!E18," - ")</f>
        <v xml:space="preserve"> - </v>
      </c>
      <c r="C18" s="442">
        <f>IF(ISNUMBER(NºAsuntos!I18/NºAsuntos!G18),NºAsuntos!I18/NºAsuntos!G18," - ")</f>
        <v>55</v>
      </c>
      <c r="D18" s="443">
        <f>IF(ISNUMBER('Resol  Asuntos'!D18/NºAsuntos!G18),'Resol  Asuntos'!D18/NºAsuntos!G18," - ")</f>
        <v>0</v>
      </c>
      <c r="E18" s="444">
        <f>IF(ISNUMBER((NºAsuntos!C18+NºAsuntos!E18)/NºAsuntos!G18),(NºAsuntos!C18+NºAsuntos!E18)/NºAsuntos!G18," - ")</f>
        <v>56</v>
      </c>
      <c r="G18" s="462"/>
    </row>
    <row r="19" spans="1:7" ht="14.25" thickTop="1" thickBot="1">
      <c r="A19" s="845" t="str">
        <f>Datos!A19</f>
        <v>TOTAL</v>
      </c>
      <c r="B19" s="855">
        <f>IF(ISNUMBER(NºAsuntos!G19/NºAsuntos!E19),NºAsuntos!G19/NºAsuntos!E19," - ")</f>
        <v>1.2242044358727098</v>
      </c>
      <c r="C19" s="856">
        <f>IF(ISNUMBER(NºAsuntos!I19/NºAsuntos!G19),NºAsuntos!I19/NºAsuntos!G19," - ")</f>
        <v>1.0905868452146514</v>
      </c>
      <c r="D19" s="859">
        <f>IF(ISNUMBER('Resol  Asuntos'!D19/NºAsuntos!G19),'Resol  Asuntos'!D19/NºAsuntos!G19," - ")</f>
        <v>0.13430484442693974</v>
      </c>
      <c r="E19" s="858">
        <f>IF(ISNUMBER((NºAsuntos!C19+NºAsuntos!E19)/NºAsuntos!G19),(NºAsuntos!C19+NºAsuntos!E19)/NºAsuntos!G19," - ")</f>
        <v>2.0630169358014965</v>
      </c>
      <c r="G19" s="462"/>
    </row>
    <row r="20" spans="1:7" ht="15.75" customHeight="1" thickTop="1" thickBot="1">
      <c r="A20" s="790" t="str">
        <f>Datos!A20</f>
        <v>TOTAL JURISDICCIONES</v>
      </c>
      <c r="B20" s="805">
        <f>IF(ISNUMBER(NºAsuntos!G20/NºAsuntos!E20),NºAsuntos!G20/NºAsuntos!E20," - ")</f>
        <v>0.94760746147607466</v>
      </c>
      <c r="C20" s="806">
        <f>IF(ISNUMBER(NºAsuntos!I20/NºAsuntos!G20),NºAsuntos!I20/NºAsuntos!G20," - ")</f>
        <v>2.8473125641903456</v>
      </c>
      <c r="D20" s="807">
        <f>IF(ISNUMBER('Resol  Asuntos'!D20/NºAsuntos!G20),'Resol  Asuntos'!D20/NºAsuntos!G20," - ")</f>
        <v>0.24922971585073606</v>
      </c>
      <c r="E20" s="808">
        <f>IF(ISNUMBER((NºAsuntos!C20+NºAsuntos!E20)/NºAsuntos!G20),(NºAsuntos!C20+NºAsuntos!E20)/NºAsuntos!G20," - ")</f>
        <v>3.8353303663129066</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0H0IMoeccITKxFX1aKnLW1lOOoNjuBWmBcOQvnrgQISpBfCfxlNwQDA+53MKo4AwSa08HLU0WTKiVYzFsK+x5g==" saltValue="nz1teyd6I5ViXQwvLYPqA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CANARIAS</v>
      </c>
      <c r="G2" s="262"/>
      <c r="H2" s="261"/>
      <c r="I2" s="261"/>
      <c r="J2" s="261"/>
      <c r="K2" s="261"/>
      <c r="L2" s="261" t="str">
        <f>Criterios!A10 &amp;"  "&amp;Criterios!B10</f>
        <v>Provincias  LAS PALMAS</v>
      </c>
      <c r="N2" s="261" t="str">
        <f>Criterios!A11 &amp;"  "&amp;Criterios!B11</f>
        <v>Resumenes por Partidos Judiciales  TELDE</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6</v>
      </c>
      <c r="B9" s="176" t="s">
        <v>247</v>
      </c>
      <c r="C9" s="159" t="str">
        <f>Datos!A9</f>
        <v>Sección Civil del T.I</v>
      </c>
      <c r="D9" s="159"/>
      <c r="E9" s="1020">
        <f>IF(ISNUMBER(Datos!AQ9),Datos!AQ9," - ")</f>
        <v>6</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599</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216</v>
      </c>
      <c r="Y9" s="333">
        <f>SUM(W9:X9)</f>
        <v>216</v>
      </c>
      <c r="Z9" s="334" t="str">
        <f>IF(ISNUMBER(Datos!CC9),Datos!CC9," - ")</f>
        <v xml:space="preserve"> - </v>
      </c>
      <c r="AA9" s="331" t="str">
        <f>IF(ISNUMBER(IF(J_V="SI",Datos!L9,Datos!L9+Datos!AB9)-IF(Monitorios="SI",Datos!CD9,0)),
                          IF(J_V="SI",Datos!L9,Datos!L9+Datos!AB9)-IF(Monitorios="SI",Datos!CD9,0),
                          " - ")</f>
        <v xml:space="preserve"> - </v>
      </c>
      <c r="AB9" s="333">
        <f>IF(ISNUMBER(Datos!R9),Datos!R9," - ")</f>
        <v>12372</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1115</v>
      </c>
      <c r="AJ9" s="228" t="str">
        <f>IF(ISNUMBER(Datos!BW9),Datos!BW9," - ")</f>
        <v xml:space="preserve"> - </v>
      </c>
      <c r="AK9" s="227" t="str">
        <f>IF(ISNUMBER(Datos!BX9),Datos!BX9," - ")</f>
        <v xml:space="preserve"> - </v>
      </c>
      <c r="AL9" s="242">
        <f>IF(ISNUMBER(NºAsuntos!G9/NºAsuntos!E9),NºAsuntos!G9/NºAsuntos!E9," - ")</f>
        <v>0.80738205817648501</v>
      </c>
      <c r="AM9" s="259">
        <f>IF(ISNUMBER(((NºAsuntos!I9/NºAsuntos!G9)*11)/factor_trimestre),((NºAsuntos!I9/NºAsuntos!G9)*11)/factor_trimestre," - ")</f>
        <v>12.564940962761128</v>
      </c>
      <c r="AN9" s="243">
        <f>IF(ISNUMBER('Resol  Asuntos'!D9/NºAsuntos!G9),'Resol  Asuntos'!D9/NºAsuntos!G9," - ")</f>
        <v>0.33757190432939754</v>
      </c>
      <c r="AO9" s="244">
        <f>IF(ISNUMBER((NºAsuntos!C9+NºAsuntos!E9)/NºAsuntos!G9),(NºAsuntos!C9+NºAsuntos!E9)/NºAsuntos!G9," - ")</f>
        <v>5.1883136542537089</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31</v>
      </c>
      <c r="G10" s="332">
        <f>IF(ISNUMBER(Datos!I10),Datos!I10," - ")</f>
        <v>31</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31</v>
      </c>
      <c r="AB10" s="333">
        <f>IF(ISNUMBER(Datos!R10),Datos!R10," - ")</f>
        <v>95</v>
      </c>
      <c r="AC10" s="333">
        <f t="shared" ref="AC10:AC12" si="1">IF(ISNUMBER(AA10+AB10),AA10+AB10," - ")</f>
        <v>126</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6</v>
      </c>
      <c r="F13" s="862">
        <f t="shared" si="3"/>
        <v>31</v>
      </c>
      <c r="G13" s="863">
        <f t="shared" si="3"/>
        <v>31</v>
      </c>
      <c r="H13" s="862">
        <f t="shared" si="3"/>
        <v>0</v>
      </c>
      <c r="I13" s="864">
        <f t="shared" si="3"/>
        <v>0</v>
      </c>
      <c r="J13" s="864">
        <f t="shared" si="3"/>
        <v>0</v>
      </c>
      <c r="K13" s="864">
        <f t="shared" si="3"/>
        <v>0</v>
      </c>
      <c r="L13" s="864">
        <f t="shared" si="3"/>
        <v>599</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216</v>
      </c>
      <c r="Y13" s="865">
        <f t="shared" si="4"/>
        <v>216</v>
      </c>
      <c r="Z13" s="865">
        <f t="shared" si="4"/>
        <v>0</v>
      </c>
      <c r="AA13" s="865">
        <f t="shared" si="4"/>
        <v>31</v>
      </c>
      <c r="AB13" s="865">
        <f t="shared" si="4"/>
        <v>12467</v>
      </c>
      <c r="AC13" s="865">
        <f t="shared" si="4"/>
        <v>126</v>
      </c>
      <c r="AD13" s="865">
        <f t="shared" si="4"/>
        <v>0</v>
      </c>
      <c r="AE13" s="869">
        <f t="shared" si="4"/>
        <v>0</v>
      </c>
      <c r="AF13" s="862">
        <f t="shared" si="4"/>
        <v>0</v>
      </c>
      <c r="AG13" s="870">
        <f t="shared" si="4"/>
        <v>0</v>
      </c>
      <c r="AH13" s="867">
        <f t="shared" si="4"/>
        <v>0</v>
      </c>
      <c r="AI13" s="862">
        <f t="shared" si="4"/>
        <v>1115</v>
      </c>
      <c r="AJ13" s="864">
        <f t="shared" si="4"/>
        <v>0</v>
      </c>
      <c r="AK13" s="867">
        <f>SUBTOTAL(9,AK9:AK12)</f>
        <v>0</v>
      </c>
      <c r="AL13" s="871">
        <f>IF(ISNUMBER(NºAsuntos!G13/NºAsuntos!E13),NºAsuntos!G13/NºAsuntos!E13," - ")</f>
        <v>0.80738205817648501</v>
      </c>
      <c r="AM13" s="871">
        <f>IF(ISNUMBER(((NºAsuntos!I13/NºAsuntos!G13)*11)/factor_trimestre),((NºAsuntos!I13/NºAsuntos!G13)*11)/factor_trimestre," - ")</f>
        <v>12.593097184377839</v>
      </c>
      <c r="AN13" s="872">
        <f>IF(ISNUMBER('Resol  Asuntos'!D13/NºAsuntos!G13),'Resol  Asuntos'!D13/NºAsuntos!G13," - ")</f>
        <v>0.33757190432939754</v>
      </c>
      <c r="AO13" s="873">
        <f>IF(ISNUMBER((NºAsuntos!C13+NºAsuntos!E13)/NºAsuntos!G13),(NºAsuntos!C13+NºAsuntos!E13)/NºAsuntos!G13," - ")</f>
        <v>5.1976990614592795</v>
      </c>
      <c r="AP13" s="874" t="str">
        <f t="shared" si="2"/>
        <v xml:space="preserve"> - </v>
      </c>
      <c r="AQ13" s="874">
        <f>IF(ISNUMBER((H13-W13+K13)/(F13)),(H13-W13+K13)/(F13)," - ")</f>
        <v>0</v>
      </c>
      <c r="AR13" s="875">
        <f>IF(ISNUMBER((Datos!P13-Datos!Q13)/(Datos!R13-Datos!P13+Datos!Q13)),(Datos!P13-Datos!Q13)/(Datos!R13-Datos!P13+Datos!Q13)," - ")</f>
        <v>3.1694803045349225E-2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3</v>
      </c>
      <c r="B15" s="274" t="s">
        <v>397</v>
      </c>
      <c r="C15" s="159" t="str">
        <f>Datos!A15</f>
        <v xml:space="preserve">Seccion Instruccion Del T.I.                   </v>
      </c>
      <c r="D15" s="159"/>
      <c r="E15" s="1020">
        <f>IF(ISNUMBER(Datos!AQ15),Datos!AQ15," - ")</f>
        <v>3</v>
      </c>
      <c r="F15" s="224">
        <f>IF(ISNUMBER(AA15+W15-Datos!J15-K15),AA15+W15-Datos!J15-K15," - ")</f>
        <v>3177</v>
      </c>
      <c r="G15" s="332">
        <f>IF(ISNUMBER(IF(D_I="SI",Datos!I15,Datos!I15+Datos!AC15)),IF(D_I="SI",Datos!I15,Datos!I15+Datos!AC15)," - ")</f>
        <v>3107</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83</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2538</v>
      </c>
      <c r="X15" s="225">
        <f>IF(ISNUMBER(Datos!Q15),Datos!Q15," - ")</f>
        <v>210</v>
      </c>
      <c r="Y15" s="333">
        <f>SUM(W15)</f>
        <v>2538</v>
      </c>
      <c r="Z15" s="334" t="str">
        <f>IF(ISNUMBER(Datos!CC15),Datos!CC15," - ")</f>
        <v xml:space="preserve"> - </v>
      </c>
      <c r="AA15" s="331">
        <f>IF(ISNUMBER(IF(D_I="SI",Datos!L15,Datos!L15+Datos!AF15)),IF(D_I="SI",Datos!L15,Datos!L15+Datos!AF15)," - ")</f>
        <v>2713</v>
      </c>
      <c r="AB15" s="333">
        <f>IF(ISNUMBER(Datos!R15),Datos!R15," - ")</f>
        <v>342</v>
      </c>
      <c r="AC15" s="333">
        <f t="shared" ref="AC15:AC18" si="6">IF(ISNUMBER(AA15+AB15),AA15+AB15," - ")</f>
        <v>3055</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341</v>
      </c>
      <c r="AJ15" s="230" t="str">
        <f>IF(ISNUMBER(Datos!BW15),Datos!BW15," - ")</f>
        <v xml:space="preserve"> - </v>
      </c>
      <c r="AK15" s="231" t="str">
        <f>IF(ISNUMBER(Datos!BX15),Datos!BX15," - ")</f>
        <v xml:space="preserve"> - </v>
      </c>
      <c r="AL15" s="242">
        <f>IF(ISNUMBER(NºAsuntos!G15/NºAsuntos!E15),NºAsuntos!G15/NºAsuntos!E15," - ")</f>
        <v>1.2237222757955641</v>
      </c>
      <c r="AM15" s="259">
        <f>IF(ISNUMBER(((NºAsuntos!I15/NºAsuntos!G15)*11)/factor_trimestre),((NºAsuntos!I15/NºAsuntos!G15)*11)/factor_trimestre," - ")</f>
        <v>3.206855791962175</v>
      </c>
      <c r="AN15" s="243">
        <f>IF(ISNUMBER('Resol  Asuntos'!D15/NºAsuntos!G15),'Resol  Asuntos'!D15/NºAsuntos!G15," - ")</f>
        <v>0.13435776201733649</v>
      </c>
      <c r="AO15" s="244">
        <f>IF(ISNUMBER((NºAsuntos!C15+NºAsuntos!E15)/NºAsuntos!G15),(NºAsuntos!C15+NºAsuntos!E15)/NºAsuntos!G15," - ")</f>
        <v>2.041371158392435</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f>IF(ISNUMBER(AA17+W17-Datos!J17-K17),AA17+W17-Datos!J17-K17," - ")</f>
        <v>1</v>
      </c>
      <c r="G17" s="332">
        <f>IF(ISNUMBER(IF(D_I="SI",Datos!I17,Datos!I17+Datos!AC17)),IF(D_I="SI",Datos!I17,Datos!I17+Datos!AC17)," - ")</f>
        <v>1</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0</v>
      </c>
      <c r="X17" s="225">
        <f>IF(ISNUMBER(Datos!Q17),Datos!Q17," - ")</f>
        <v>0</v>
      </c>
      <c r="Y17" s="333">
        <f t="shared" ref="Y17:Y18" si="9">SUM(W17:X17)</f>
        <v>0</v>
      </c>
      <c r="Z17" s="334" t="str">
        <f>IF(ISNUMBER(Datos!CC17),Datos!CC17," - ")</f>
        <v xml:space="preserve"> - </v>
      </c>
      <c r="AA17" s="331">
        <f>IF(ISNUMBER(IF(D_I="SI",Datos!L17,Datos!L17+Datos!AF17)),IF(D_I="SI",Datos!L17,Datos!L17+Datos!AF17)," - ")</f>
        <v>1</v>
      </c>
      <c r="AB17" s="333">
        <f>IF(ISNUMBER(Datos!R17),Datos!R17," - ")</f>
        <v>0</v>
      </c>
      <c r="AC17" s="333">
        <f t="shared" si="6"/>
        <v>1</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0</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56</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v>
      </c>
      <c r="X18" s="225">
        <f>IF(ISNUMBER(Datos!Q18),Datos!Q18," - ")</f>
        <v>0</v>
      </c>
      <c r="Y18" s="333">
        <f t="shared" si="9"/>
        <v>1</v>
      </c>
      <c r="Z18" s="334" t="str">
        <f>IF(ISNUMBER(Datos!CC18),Datos!CC18," - ")</f>
        <v xml:space="preserve"> - </v>
      </c>
      <c r="AA18" s="331">
        <f>IF(ISNUMBER(Datos!L18),Datos!L18,"-")</f>
        <v>55</v>
      </c>
      <c r="AB18" s="333">
        <f>IF(ISNUMBER(Datos!R18),Datos!R18," - ")</f>
        <v>0</v>
      </c>
      <c r="AC18" s="333">
        <f t="shared" si="6"/>
        <v>55</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t="str">
        <f>IF(ISNUMBER(NºAsuntos!G18/NºAsuntos!E18),NºAsuntos!G18/NºAsuntos!E18," - ")</f>
        <v xml:space="preserve"> - </v>
      </c>
      <c r="AM18" s="259">
        <f>IF(ISNUMBER(((NºAsuntos!I18/NºAsuntos!G18)*11)/factor_trimestre),((NºAsuntos!I18/NºAsuntos!G18)*11)/factor_trimestre," - ")</f>
        <v>165</v>
      </c>
      <c r="AN18" s="243">
        <f>IF(ISNUMBER('Resol  Asuntos'!D18/NºAsuntos!G18),'Resol  Asuntos'!D18/NºAsuntos!G18," - ")</f>
        <v>0</v>
      </c>
      <c r="AO18" s="244">
        <f>IF(ISNUMBER((NºAsuntos!C18+NºAsuntos!E18)/NºAsuntos!G18),(NºAsuntos!C18+NºAsuntos!E18)/NºAsuntos!G18," - ")</f>
        <v>56</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3</v>
      </c>
      <c r="F19" s="862">
        <f>SUBTOTAL(9,F14:F18)</f>
        <v>3178</v>
      </c>
      <c r="G19" s="863">
        <f>SUBTOTAL(9,G15:G18)</f>
        <v>3164</v>
      </c>
      <c r="H19" s="862">
        <f t="shared" ref="H19:O19" si="12">SUBTOTAL(9,H14:H18)</f>
        <v>0</v>
      </c>
      <c r="I19" s="864">
        <f t="shared" si="12"/>
        <v>0</v>
      </c>
      <c r="J19" s="864">
        <f t="shared" si="12"/>
        <v>0</v>
      </c>
      <c r="K19" s="864">
        <f t="shared" si="12"/>
        <v>0</v>
      </c>
      <c r="L19" s="864">
        <f t="shared" si="12"/>
        <v>83</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2539</v>
      </c>
      <c r="X19" s="864">
        <f t="shared" si="13"/>
        <v>210</v>
      </c>
      <c r="Y19" s="865">
        <f t="shared" si="13"/>
        <v>2539</v>
      </c>
      <c r="Z19" s="865">
        <f t="shared" si="13"/>
        <v>0</v>
      </c>
      <c r="AA19" s="865">
        <f t="shared" si="13"/>
        <v>2769</v>
      </c>
      <c r="AB19" s="865">
        <f t="shared" si="13"/>
        <v>342</v>
      </c>
      <c r="AC19" s="865">
        <f t="shared" si="13"/>
        <v>3111</v>
      </c>
      <c r="AD19" s="865">
        <f t="shared" si="13"/>
        <v>0</v>
      </c>
      <c r="AE19" s="869">
        <f t="shared" si="13"/>
        <v>0</v>
      </c>
      <c r="AF19" s="862">
        <f t="shared" si="13"/>
        <v>0</v>
      </c>
      <c r="AG19" s="870">
        <f t="shared" si="13"/>
        <v>0</v>
      </c>
      <c r="AH19" s="867">
        <f t="shared" si="13"/>
        <v>0</v>
      </c>
      <c r="AI19" s="862">
        <f t="shared" si="13"/>
        <v>341</v>
      </c>
      <c r="AJ19" s="864">
        <f t="shared" si="13"/>
        <v>0</v>
      </c>
      <c r="AK19" s="867">
        <f t="shared" si="13"/>
        <v>0</v>
      </c>
      <c r="AL19" s="871">
        <f>IF(ISNUMBER(NºAsuntos!G19/NºAsuntos!E19),NºAsuntos!G19/NºAsuntos!E19," - ")</f>
        <v>1.2242044358727098</v>
      </c>
      <c r="AM19" s="871">
        <f>IF(ISNUMBER(((NºAsuntos!I19/NºAsuntos!G19)*11)/factor_trimestre),((NºAsuntos!I19/NºAsuntos!G19)*11)/factor_trimestre," - ")</f>
        <v>3.2717605356439545</v>
      </c>
      <c r="AN19" s="872">
        <f>IF(ISNUMBER('Resol  Asuntos'!D19/NºAsuntos!G19),'Resol  Asuntos'!D19/NºAsuntos!G19," - ")</f>
        <v>0.13430484442693974</v>
      </c>
      <c r="AO19" s="873">
        <f>IF(ISNUMBER((NºAsuntos!C19+NºAsuntos!E19)/NºAsuntos!G19),(NºAsuntos!C19+NºAsuntos!E19)/NºAsuntos!G19," - ")</f>
        <v>2.0630169358014965</v>
      </c>
      <c r="AP19" s="874" t="str">
        <f t="shared" si="2"/>
        <v xml:space="preserve"> - </v>
      </c>
      <c r="AQ19" s="874">
        <f>IF(ISNUMBER((H19-W19+K19)/(F19)),(H19-W19+K19)/(F19)," - ")</f>
        <v>-0.79893014474512269</v>
      </c>
      <c r="AR19" s="875">
        <f>IF(ISNUMBER((Datos!P19-Datos!Q19)/(Datos!R19-Datos!P19+Datos!Q19)),(Datos!P19-Datos!Q19)/(Datos!R19-Datos!P19+Datos!Q19)," - ")</f>
        <v>-0.27078891257995735</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9</v>
      </c>
      <c r="F20" s="817">
        <f t="shared" si="15"/>
        <v>3209</v>
      </c>
      <c r="G20" s="818">
        <f t="shared" si="15"/>
        <v>3195</v>
      </c>
      <c r="H20" s="817">
        <f t="shared" si="15"/>
        <v>0</v>
      </c>
      <c r="I20" s="819">
        <f t="shared" si="15"/>
        <v>0</v>
      </c>
      <c r="J20" s="819">
        <f t="shared" si="15"/>
        <v>0</v>
      </c>
      <c r="K20" s="878">
        <f t="shared" si="15"/>
        <v>0</v>
      </c>
      <c r="L20" s="819">
        <f t="shared" si="15"/>
        <v>682</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2539</v>
      </c>
      <c r="X20" s="818">
        <f t="shared" si="16"/>
        <v>426</v>
      </c>
      <c r="Y20" s="825">
        <f t="shared" si="16"/>
        <v>2755</v>
      </c>
      <c r="Z20" s="825">
        <f t="shared" si="16"/>
        <v>0</v>
      </c>
      <c r="AA20" s="825">
        <f t="shared" si="16"/>
        <v>2800</v>
      </c>
      <c r="AB20" s="825">
        <f t="shared" si="16"/>
        <v>12809</v>
      </c>
      <c r="AC20" s="825">
        <f t="shared" si="16"/>
        <v>3237</v>
      </c>
      <c r="AD20" s="825">
        <f t="shared" si="16"/>
        <v>0</v>
      </c>
      <c r="AE20" s="827">
        <f t="shared" si="16"/>
        <v>0</v>
      </c>
      <c r="AF20" s="828">
        <f t="shared" si="16"/>
        <v>0</v>
      </c>
      <c r="AG20" s="829">
        <f t="shared" si="16"/>
        <v>0</v>
      </c>
      <c r="AH20" s="827">
        <f t="shared" si="16"/>
        <v>0</v>
      </c>
      <c r="AI20" s="817">
        <f t="shared" si="16"/>
        <v>1456</v>
      </c>
      <c r="AJ20" s="817">
        <f t="shared" si="16"/>
        <v>0</v>
      </c>
      <c r="AK20" s="827">
        <f t="shared" si="16"/>
        <v>0</v>
      </c>
      <c r="AL20" s="881">
        <f>IF(ISNUMBER(NºAsuntos!G20/NºAsuntos!E20),NºAsuntos!G20/NºAsuntos!E20," - ")</f>
        <v>0.94760746147607466</v>
      </c>
      <c r="AM20" s="882">
        <f>IF(ISNUMBER(((NºAsuntos!I20/NºAsuntos!G20)*11)/factor_trimestre),((NºAsuntos!I20/NºAsuntos!G20)*11)/factor_trimestre," - ")</f>
        <v>8.5419376925710377</v>
      </c>
      <c r="AN20" s="882">
        <f>IF(ISNUMBER('Resol  Asuntos'!D20/NºAsuntos!G20),'Resol  Asuntos'!D20/NºAsuntos!G20," - ")</f>
        <v>0.24922971585073606</v>
      </c>
      <c r="AO20" s="883">
        <f>IF(ISNUMBER((NºAsuntos!C20+NºAsuntos!E20)/NºAsuntos!G20),(NºAsuntos!C20+NºAsuntos!E20)/NºAsuntos!G20," - ")</f>
        <v>3.8353303663129066</v>
      </c>
      <c r="AP20" s="884" t="str">
        <f t="shared" si="2"/>
        <v xml:space="preserve"> - </v>
      </c>
      <c r="AQ20" s="885">
        <f>IF(OR(ISNUMBER(FIND("01",Criterios!A8,1)),ISNUMBER(FIND("02",Criterios!A8,1)),ISNUMBER(FIND("03",Criterios!A8,1)),ISNUMBER(FIND("04",Criterios!A8,1))),(I20-W20+K20)/(F20-K20),(H20-W20+K20)/(F20-K20))</f>
        <v>-0.79121221564350264</v>
      </c>
      <c r="AR20" s="886">
        <f>IF(ISNUMBER((Datos!P20-Datos!Q20)/(Datos!R20-Datos!P20+Datos!Q20)),(Datos!P20-Datos!Q20)/(Datos!R20-Datos!P20+Datos!Q20)," - ")</f>
        <v>2.0393531426750579E-2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1065</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2.5298221281347035</v>
      </c>
      <c r="F22" s="251">
        <f>IF(ISNUMBER(STDEV(F8:F19)),STDEV(F8:F19),"-")</f>
        <v>1728.9296688992297</v>
      </c>
      <c r="G22" s="252">
        <f>IF(ISNUMBER(STDEV(G8:G19)),STDEV(G8:G19),"-")</f>
        <v>1603.99837905155</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1310.7467591669515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501.26839118380485</v>
      </c>
      <c r="AJ22" s="251">
        <f t="shared" si="20"/>
        <v>0</v>
      </c>
      <c r="AK22" s="253">
        <f t="shared" si="20"/>
        <v>0</v>
      </c>
      <c r="AL22" s="248">
        <f t="shared" si="20"/>
        <v>0.240513404891357</v>
      </c>
      <c r="AM22" s="249">
        <f t="shared" si="20"/>
        <v>70.408198035743396</v>
      </c>
      <c r="AN22" s="249">
        <f t="shared" si="20"/>
        <v>0.14649681805252748</v>
      </c>
      <c r="AO22" s="250">
        <f t="shared" si="20"/>
        <v>23.476470070710505</v>
      </c>
      <c r="AP22" s="290" t="str">
        <f t="shared" si="20"/>
        <v>-</v>
      </c>
      <c r="AQ22" s="291">
        <f t="shared" si="20"/>
        <v>0.56492892304362619</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2jWunG0+kJO5ZpeagL13DBg1hG+K5FLQ0Y/9MGMoya2w7XUHM+2VMq4VrHtPeD9Y3kZpYDpCbYXPG7oTwdBAug==" saltValue="4Z+cl5hDg2agVCvcUTdur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CANARIAS</v>
      </c>
      <c r="E2" s="262"/>
    </row>
    <row r="3" spans="2:20" ht="17.25" customHeight="1">
      <c r="C3" s="266"/>
      <c r="D3" s="261" t="str">
        <f>Criterios!A10 &amp;"  "&amp;Criterios!B10</f>
        <v>Provincias  LAS PALMAS</v>
      </c>
      <c r="E3" s="262"/>
    </row>
    <row r="4" spans="2:20" ht="17.25" customHeight="1" thickBot="1">
      <c r="D4" s="261" t="str">
        <f>Criterios!A11 &amp;"  "&amp;Criterios!B11</f>
        <v>Resumenes por Partidos Judiciales  TELDE</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-0.23472889498970487</v>
      </c>
      <c r="I9" s="349">
        <f>IF(ISNUMBER((Tasas!C9-Datos!BE9)/Datos!BE9),(Tasas!C9-Datos!BE9)/Datos!BE9," - ")</f>
        <v>0.66956402545460347</v>
      </c>
      <c r="J9" s="348">
        <f>IF(ISNUMBER((Tasas!D9-Datos!BF9)/Datos!BF9),(Tasas!D9-Datos!BF9)/Datos!BF9," - ")</f>
        <v>-0.37043253099533135</v>
      </c>
      <c r="K9" s="350">
        <f>IF(ISNUMBER((Tasas!E9-Datos!BG9)/Datos!BG9),(Tasas!E9-Datos!BG9)/Datos!BG9," - ")</f>
        <v>0.47873040434470687</v>
      </c>
      <c r="M9" t="e">
        <f>IF(Monitorios="SI",Datos!CE9,0)</f>
        <v>#REF!</v>
      </c>
      <c r="N9" t="e">
        <f>IF(Monitorios="SI",Datos!CF9,0)</f>
        <v>#REF!</v>
      </c>
      <c r="O9" t="e">
        <f>IF(Monitorios="SI",Datos!CG9,0)</f>
        <v>#REF!</v>
      </c>
      <c r="P9" t="e">
        <f>IF(Monitorios="SI",Datos!CH9,0)</f>
        <v>#REF!</v>
      </c>
      <c r="Q9">
        <f>IF(J_V="SI",0,Datos!AG9)</f>
        <v>297</v>
      </c>
      <c r="R9">
        <f>IF(J_V="SI",0,Datos!AH9)</f>
        <v>220</v>
      </c>
      <c r="S9">
        <f>IF(J_V="SI",0,Datos!AI9)</f>
        <v>167</v>
      </c>
      <c r="T9">
        <f>IF(J_V="SI",0,Datos!AJ9)</f>
        <v>350</v>
      </c>
    </row>
    <row r="10" spans="2:20" ht="14.25">
      <c r="B10" s="274" t="s">
        <v>247</v>
      </c>
      <c r="C10" s="7" t="str">
        <f>Datos!A10</f>
        <v>Sección De Violencia sobre la Mujer del TI</v>
      </c>
      <c r="D10" s="351">
        <f>IF(ISNUMBER((Datos!I10-Datos!S10)/Datos!S10),(Datos!I10-Datos!S10)/Datos!S10," - ")</f>
        <v>-0.65934065934065933</v>
      </c>
      <c r="E10" s="347" t="str">
        <f>IF(ISNUMBER((Datos!J10-Datos!T10)/Datos!T10),(Datos!J10-Datos!T10)/Datos!T10," - ")</f>
        <v xml:space="preserve"> - </v>
      </c>
      <c r="F10" s="347">
        <f>IF(ISNUMBER((Datos!K10-Datos!U10)/Datos!U10),(Datos!K10-Datos!U10)/Datos!U10," - ")</f>
        <v>-1</v>
      </c>
      <c r="G10" s="348">
        <f>IF(ISNUMBER((Datos!L10-Datos!V10)/Datos!V10),(Datos!L10-Datos!V10)/Datos!V10," - ")</f>
        <v>-0.40384615384615385</v>
      </c>
      <c r="H10" s="229">
        <f>IF(ISNUMBER((Datos!M10-Datos!W10)/Datos!W10),(Datos!M10-Datos!W10)/Datos!W10," - ")</f>
        <v>-1</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-0.25167785234899331</v>
      </c>
      <c r="I13" s="356">
        <f>IF(ISNUMBER((Tasas!C13-Datos!BE13)/Datos!BE13),(Tasas!C13-Datos!BE13)/Datos!BE13," - ")</f>
        <v>0.67901710300102691</v>
      </c>
      <c r="J13" s="354">
        <f>IF(ISNUMBER((Tasas!D13-Datos!BF13)/Datos!BF13),(Tasas!D13-Datos!BF13)/Datos!BF13," - ")</f>
        <v>-0.373064073944262</v>
      </c>
      <c r="K13" s="357">
        <f>IF(ISNUMBER((Tasas!E13-Datos!BG13)/Datos!BG13),(Tasas!E13-Datos!BG13)/Datos!BG13," - ")</f>
        <v>0.48501737640820203</v>
      </c>
      <c r="M13" t="e">
        <f>IF(Monitorios="SI",Datos!CE13,0)</f>
        <v>#REF!</v>
      </c>
      <c r="N13" t="e">
        <f>IF(Monitorios="SI",Datos!CF13,0)</f>
        <v>#REF!</v>
      </c>
      <c r="O13" t="e">
        <f>IF(Monitorios="SI",Datos!CG13,0)</f>
        <v>#REF!</v>
      </c>
      <c r="P13" t="e">
        <f>IF(Monitorios="SI",Datos!CH13,0)</f>
        <v>#REF!</v>
      </c>
      <c r="Q13">
        <f>IF(J_V="SI",0,Datos!AG13)</f>
        <v>297</v>
      </c>
      <c r="R13">
        <f>IF(J_V="SI",0,Datos!AH13)</f>
        <v>220</v>
      </c>
      <c r="S13">
        <f>IF(J_V="SI",0,Datos!AI13)</f>
        <v>167</v>
      </c>
      <c r="T13">
        <f>IF(J_V="SI",0,Datos!AJ13)</f>
        <v>350</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-6.0193587416817906E-2</v>
      </c>
      <c r="E15" s="347">
        <f>IF(ISNUMBER(
   IF(D_I="SI",(Datos!J15-Datos!T15)/Datos!T15,(Datos!J15+Datos!AD15-(Datos!T15+Datos!AL15))/(Datos!T15+Datos!AL15))
     ),IF(D_I="SI",(Datos!J15-Datos!T15)/Datos!T15,(Datos!J15+Datos!AD15-(Datos!T15+Datos!AL15))/(Datos!T15+Datos!AL15))," - ")</f>
        <v>-3.8924930491195553E-2</v>
      </c>
      <c r="F15" s="347">
        <f>IF(ISNUMBER(
   IF(D_I="SI",(Datos!K15-Datos!U15)/Datos!U15,(Datos!K15+Datos!AE15-(Datos!U15+Datos!AM15))/(Datos!U15+Datos!AM15))
     ),IF(D_I="SI",(Datos!K15-Datos!U15)/Datos!U15,(Datos!K15+Datos!AE15-(Datos!U15+Datos!AM15))/(Datos!U15+Datos!AM15))," - ")</f>
        <v>6.0593397409109906E-2</v>
      </c>
      <c r="G15" s="348">
        <f>IF(ISNUMBER(
   IF(D_I="SI",(Datos!L15-Datos!V15)/Datos!V15,(Datos!L15+Datos!AF15-(Datos!V15+Datos!AN15))/(Datos!V15+Datos!AN15))
     ),IF(D_I="SI",(Datos!L15-Datos!V15)/Datos!V15,(Datos!L15+Datos!AF15-(Datos!V15+Datos!AN15))/(Datos!V15+Datos!AN15))," - ")</f>
        <v>-0.11542223671340071</v>
      </c>
      <c r="H15" s="229">
        <f>IF(ISNUMBER((Datos!M15-Datos!W15)/Datos!W15),(Datos!M15-Datos!W15)/Datos!W15," - ")</f>
        <v>-0.10498687664041995</v>
      </c>
      <c r="I15" s="349">
        <f>IF(ISNUMBER((Tasas!C15-Datos!BE15)/Datos!BE15),(Tasas!C15-Datos!BE15)/Datos!BE15," - ")</f>
        <v>-0.16595957937555877</v>
      </c>
      <c r="J15" s="348">
        <f>IF(ISNUMBER((Tasas!D15-Datos!BF15)/Datos!BF15),(Tasas!D15-Datos!BF15)/Datos!BF15," - ")</f>
        <v>-0.15612040811683406</v>
      </c>
      <c r="K15" s="350">
        <f>IF(ISNUMBER((Tasas!E15-Datos!BG15)/Datos!BG15),(Tasas!E15-Datos!BG15)/Datos!BG15," - ")</f>
        <v>-0.10596610870550927</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f>IF(ISNUMBER(
   IF(D_I="SI",(Datos!L17-Datos!V17)/Datos!V17,(Datos!L17+Datos!AF17-(Datos!V17+Datos!AN17))/(Datos!V17+Datos!AN17))
     ),IF(D_I="SI",(Datos!L17-Datos!V17)/Datos!V17,(Datos!L17+Datos!AF17-(Datos!V17+Datos!AN17))/(Datos!V17+Datos!AN17))," - ")</f>
        <v>0</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-0.49549549549549549</v>
      </c>
      <c r="E18" s="347" t="str">
        <f>IF(ISNUMBER(
   IF(D_I="SI",(Datos!J18-Datos!T18)/Datos!T18,(Datos!J18+Datos!AD18-(Datos!T18+Datos!AL18))/(Datos!T18+Datos!AL18))
     ),IF(D_I="SI",(Datos!J18-Datos!T18)/Datos!T18,(Datos!J18+Datos!AD18-(Datos!T18+Datos!AL18))/(Datos!T18+Datos!AL18))," - ")</f>
        <v xml:space="preserve"> - </v>
      </c>
      <c r="F18" s="347">
        <f>IF(ISNUMBER(
   IF(D_I="SI",(Datos!K18-Datos!U18)/Datos!U18,(Datos!K18+Datos!AE18-(Datos!U18+Datos!AM18))/(Datos!U18+Datos!AM18))
     ),IF(D_I="SI",(Datos!K18-Datos!U18)/Datos!U18,(Datos!K18+Datos!AE18-(Datos!U18+Datos!AM18))/(Datos!U18+Datos!AM18))," - ")</f>
        <v>-0.96</v>
      </c>
      <c r="G18" s="348">
        <f>IF(ISNUMBER(
   IF(D_I="SI",(Datos!L18-Datos!V18)/Datos!V18,(Datos!L18+Datos!AF18-(Datos!V18+Datos!AN18))/(Datos!V18+Datos!AN18))
     ),IF(D_I="SI",(Datos!L18-Datos!V18)/Datos!V18,(Datos!L18+Datos!AF18-(Datos!V18+Datos!AN18))/(Datos!V18+Datos!AN18))," - ")</f>
        <v>-0.36046511627906974</v>
      </c>
      <c r="H18" s="229" t="str">
        <f>IF(ISNUMBER((Datos!M18-Datos!W18)/Datos!W18),(Datos!M18-Datos!W18)/Datos!W18," - ")</f>
        <v xml:space="preserve"> - </v>
      </c>
      <c r="I18" s="349">
        <f>IF(ISNUMBER((Tasas!C18-Datos!BE18)/Datos!BE18),(Tasas!C18-Datos!BE18)/Datos!BE18," - ")</f>
        <v>14.988372093023257</v>
      </c>
      <c r="J18" s="348" t="str">
        <f>IF(ISNUMBER((Tasas!D18-Datos!BF18)/Datos!BF18),(Tasas!D18-Datos!BF18)/Datos!BF18," - ")</f>
        <v xml:space="preserve"> - </v>
      </c>
      <c r="K18" s="350">
        <f>IF(ISNUMBER((Tasas!E18-Datos!BG18)/Datos!BG18),(Tasas!E18-Datos!BG18)/Datos!BG18," - ")</f>
        <v>11.612612612612612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-7.4312463428905795E-2</v>
      </c>
      <c r="E19" s="353">
        <f>IF(ISNUMBER(
   IF(D_I="SI",(Datos!J19-Datos!T19)/Datos!T19,(Datos!J19+Datos!AD19-(Datos!T19+Datos!AL19))/(Datos!T19+Datos!AL19))
     ),IF(D_I="SI",(Datos!J19-Datos!T19)/Datos!T19,(Datos!J19+Datos!AD19-(Datos!T19+Datos!AL19))/(Datos!T19+Datos!AL19))," - ")</f>
        <v>-3.8924930491195553E-2</v>
      </c>
      <c r="F19" s="353">
        <f>IF(ISNUMBER(
   IF(D_I="SI",(Datos!K19-Datos!U19)/Datos!U19,(Datos!K19+Datos!AE19-(Datos!U19+Datos!AM19))/(Datos!U19+Datos!AM19))
     ),IF(D_I="SI",(Datos!K19-Datos!U19)/Datos!U19,(Datos!K19+Datos!AE19-(Datos!U19+Datos!AM19))/(Datos!U19+Datos!AM19))," - ")</f>
        <v>5.0041356492969397E-2</v>
      </c>
      <c r="G19" s="354">
        <f>IF(ISNUMBER(
   IF(D_I="SI",(Datos!L19-Datos!V19)/Datos!V19,(Datos!L19+Datos!AF19-(Datos!V19+Datos!AN19))/(Datos!V19+Datos!AN19))
     ),IF(D_I="SI",(Datos!L19-Datos!V19)/Datos!V19,(Datos!L19+Datos!AF19-(Datos!V19+Datos!AN19))/(Datos!V19+Datos!AN19))," - ")</f>
        <v>-0.12206721623335447</v>
      </c>
      <c r="H19" s="355">
        <f>IF(ISNUMBER((Datos!M19-Datos!W19)/Datos!W19),(Datos!M19-Datos!W19)/Datos!W19," - ")</f>
        <v>-0.10498687664041995</v>
      </c>
      <c r="I19" s="356">
        <f>IF(ISNUMBER((Tasas!C19-Datos!BE19)/Datos!BE19),(Tasas!C19-Datos!BE19)/Datos!BE19," - ")</f>
        <v>-0.16390647059954749</v>
      </c>
      <c r="J19" s="354">
        <f>IF(ISNUMBER((Tasas!D19-Datos!BF19)/Datos!BF19),(Tasas!D19-Datos!BF19)/Datos!BF19," - ")</f>
        <v>-0.14764012119595718</v>
      </c>
      <c r="K19" s="357">
        <f>IF(ISNUMBER((Tasas!E19-Datos!BG19)/Datos!BG19),(Tasas!E19-Datos!BG19)/Datos!BG19," - ")</f>
        <v>-0.10538469319081448</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-7.3160988415225697E-2</v>
      </c>
      <c r="E20" s="362">
        <f>IF(ISNUMBER(
   IF(J_V="SI",(Datos!J20-Datos!T20)/Datos!T20,(Datos!J20+Datos!Z20-(Datos!T20+Datos!AH20))/(Datos!T20+Datos!AH20))
     ),IF(J_V="SI",(Datos!J20-Datos!T20)/Datos!T20,(Datos!J20+Datos!Z20-(Datos!T20+Datos!AH20))/(Datos!T20+Datos!AH20))," - ")</f>
        <v>-0.10026269702276708</v>
      </c>
      <c r="F20" s="362">
        <f>IF(ISNUMBER(
   IF(J_V="SI",(Datos!K20-Datos!U20)/Datos!U20,(Datos!K20+Datos!AA20-(Datos!U20+Datos!AI20))/(Datos!U20+Datos!AI20))
     ),IF(J_V="SI",(Datos!K20-Datos!U20)/Datos!U20,(Datos!K20+Datos!AA20-(Datos!U20+Datos!AI20))/(Datos!U20+Datos!AI20))," - ")</f>
        <v>-0.24996790345358838</v>
      </c>
      <c r="G20" s="363">
        <f>IF(ISNUMBER(
   IF(J_V="SI",(Datos!L20-Datos!V20)/Datos!V20,(Datos!L20+Datos!AB20-(Datos!V20+Datos!AJ20))/(Datos!V20+Datos!AJ20))
     ),IF(J_V="SI",(Datos!L20-Datos!V20)/Datos!V20,(Datos!L20+Datos!AB20-(Datos!V20+Datos!AJ20))/(Datos!V20+Datos!AJ20))," - ")</f>
        <v>3.1359305270775538E-3</v>
      </c>
      <c r="H20" s="364">
        <f>IF(ISNUMBER((Datos!M20-Datos!W20)/Datos!W20),(Datos!M20-Datos!W20)/Datos!W20," - ")</f>
        <v>-0.22180652057723144</v>
      </c>
      <c r="I20" s="361">
        <f>IF(ISNUMBER((Tasas!C20-Datos!BE20)/Datos!BE20),(Tasas!C20-Datos!BE20)/Datos!BE20," - ")</f>
        <v>0.33745733702078162</v>
      </c>
      <c r="J20" s="362">
        <f>IF(ISNUMBER((Tasas!D20-Datos!BF20)/Datos!BF20),(Tasas!D20-Datos!BF20)/Datos!BF20," - ")</f>
        <v>-0.4068896251874784</v>
      </c>
      <c r="K20" s="363">
        <f>IF(ISNUMBER((Tasas!E20-Datos!BG20)/Datos!BG20),(Tasas!E20-Datos!BG20)/Datos!BG20," - ")</f>
        <v>0.22557490146507611</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0.29871007542120093</v>
      </c>
      <c r="E22" s="277">
        <f t="shared" si="1"/>
        <v>0</v>
      </c>
      <c r="F22" s="277">
        <f t="shared" si="1"/>
        <v>0.59797930393409904</v>
      </c>
      <c r="G22" s="278">
        <f t="shared" si="1"/>
        <v>0.17358612868529533</v>
      </c>
      <c r="H22" s="284">
        <f t="shared" si="1"/>
        <v>0.37581329256130364</v>
      </c>
      <c r="I22" s="276">
        <f t="shared" si="1"/>
        <v>6.602456326609361</v>
      </c>
      <c r="J22" s="277">
        <f t="shared" si="1"/>
        <v>0.12699261683813395</v>
      </c>
      <c r="K22" s="278">
        <f t="shared" si="1"/>
        <v>5.1176371172739357</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mT13wMJIPgLT/EbJbO28ZHvv8bgI15vKt3+PeZuHWiUlFozhS9BShyXzsX/+hqdmke2XjiVr170b8ELxL6B4Mg==" saltValue="EwcaUm+PdOYP8Q1W7lpNc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CANARIAS</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6</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46.071450196790799</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31</v>
      </c>
      <c r="D10" s="224">
        <f>IF(ISNUMBER(Datos!I10),Datos!I10," - ")</f>
        <v>31</v>
      </c>
      <c r="E10" s="225">
        <f>IF(ISNUMBER(Datos!J10),Datos!J10," - ")</f>
        <v>0</v>
      </c>
      <c r="F10" s="225">
        <f>IF(ISNUMBER(Datos!K10),Datos!K10," - ")</f>
        <v>0</v>
      </c>
      <c r="G10" s="1029" t="str">
        <f>IF(Datos!E10&lt;&gt;"",Datos!E10,Datos!D10)</f>
        <v>37</v>
      </c>
      <c r="H10" s="226">
        <f>IF(ISNUMBER(Datos!L10),Datos!L10," - ")</f>
        <v>31</v>
      </c>
      <c r="I10" s="1039" t="str">
        <f>IF(ISNUMBER(Datos!AS10/Datos!BM10),Datos!AS10/Datos!BM10," - ")</f>
        <v xml:space="preserve"> - </v>
      </c>
      <c r="J10" s="1040">
        <f>IF(ISNUMBER(Datos!BY10/Datos!CN10),Datos!BY10/Datos!CN10," - ")</f>
        <v>0</v>
      </c>
      <c r="K10" s="229">
        <f t="shared" ref="K10:K12" si="1">IF(ISNUMBER((E10-F10)/C10),(E10-F10)/C10," - ")</f>
        <v>0</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31</v>
      </c>
      <c r="D13" s="1044">
        <f>SUBTOTAL(9,D9:D12)</f>
        <v>31</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3</v>
      </c>
      <c r="B15" s="501" t="str">
        <f>Datos!A15</f>
        <v xml:space="preserve">Seccion Instruccion Del T.I.                   </v>
      </c>
      <c r="C15" s="224">
        <f t="shared" ref="C15:C18" si="2">IF(ISNUMBER(H15-E15+F15),H15-E15+F15," - ")</f>
        <v>3177</v>
      </c>
      <c r="D15" s="224">
        <f>IF(ISNUMBER(IF(D_I="SI",Datos!I15,Datos!I15+Datos!AC15)),IF(D_I="SI",Datos!I15,Datos!I15+Datos!AC15)," - ")</f>
        <v>3107</v>
      </c>
      <c r="E15" s="225">
        <f>IF(ISNUMBER(IF(D_I="SI",Datos!J15,Datos!J15+Datos!AD15)),IF(D_I="SI",Datos!J15,Datos!J15+Datos!AD15)," - ")</f>
        <v>2074</v>
      </c>
      <c r="F15" s="225">
        <f>IF(ISNUMBER(IF(D_I="SI",Datos!K15,Datos!K15+Datos!AE15)),IF(D_I="SI",Datos!K15,Datos!K15+Datos!AE15)," - ")</f>
        <v>2538</v>
      </c>
      <c r="G15" s="1029" t="str">
        <f>IF(Datos!E15&lt;&gt;"",Datos!E15,Datos!D15)</f>
        <v>03</v>
      </c>
      <c r="H15" s="226">
        <f>IF(ISNUMBER(IF(D_I="SI",Datos!L15,Datos!L15+Datos!AF15)),IF(D_I="SI",Datos!L15,Datos!L15+Datos!AF15)," - ")</f>
        <v>2713</v>
      </c>
      <c r="I15" s="1039" t="str">
        <f>IF(ISNUMBER(Datos!AS15/Datos!BM15),Datos!AS15/Datos!BM15," - ")</f>
        <v xml:space="preserve"> - </v>
      </c>
      <c r="J15" s="1040">
        <f>IF(ISNUMBER(Datos!BY15/Datos!CN15),Datos!BY15/Datos!CN15," - ")</f>
        <v>0</v>
      </c>
      <c r="K15" s="229">
        <f t="shared" ref="K15:K18" si="3">IF(ISNUMBER((E15-F15)/C15),(E15-F15)/C15," - ")</f>
        <v>-0.14604973245199873</v>
      </c>
      <c r="L15" s="1020">
        <f>IF(ISNUMBER(NºAsuntos!I15/NºAsuntos!G15),(NºAsuntos!I15/NºAsuntos!G15)*11," - ")</f>
        <v>11.758471237194641</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f t="shared" si="2"/>
        <v>1</v>
      </c>
      <c r="D17" s="224">
        <f>IF(ISNUMBER(IF(D_I="SI",Datos!I17,Datos!I17+Datos!AC17)),IF(D_I="SI",Datos!I17,Datos!I17+Datos!AC17)," - ")</f>
        <v>1</v>
      </c>
      <c r="E17" s="225">
        <f>IF(ISNUMBER(IF(D_I="SI",Datos!J17,Datos!J17+Datos!AD17)),IF(D_I="SI",Datos!J17,Datos!J17+Datos!AD17)," - ")</f>
        <v>0</v>
      </c>
      <c r="F17" s="225">
        <f>IF(ISNUMBER(IF(D_I="SI",Datos!K17,Datos!K17+Datos!AE17)),IF(D_I="SI",Datos!K17,Datos!K17+Datos!AE17)," - ")</f>
        <v>0</v>
      </c>
      <c r="G17" s="1029" t="str">
        <f>IF(Datos!E17&lt;&gt;"",Datos!E17,Datos!D17)</f>
        <v>04</v>
      </c>
      <c r="H17" s="226">
        <f>IF(ISNUMBER(IF(D_I="SI",Datos!L17,Datos!L17+Datos!AF17)),IF(D_I="SI",Datos!L17,Datos!L17+Datos!AF17)," - ")</f>
        <v>1</v>
      </c>
      <c r="I17" s="1039" t="str">
        <f>IF(ISNUMBER(Datos!AS17/Datos!BM17),Datos!AS17/Datos!BM17," - ")</f>
        <v xml:space="preserve"> - </v>
      </c>
      <c r="J17" s="1040">
        <f>IF(ISNUMBER(Datos!BY17/Datos!CN17),Datos!BY17/Datos!CN17," - ")</f>
        <v>0</v>
      </c>
      <c r="K17" s="229">
        <f t="shared" si="3"/>
        <v>0</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56</v>
      </c>
      <c r="D18" s="224">
        <f>IF(ISNUMBER(IF(D_I="SI",Datos!I18,Datos!I18+Datos!AC18)),IF(D_I="SI",Datos!I18,Datos!I18+Datos!AC18)," - ")</f>
        <v>56</v>
      </c>
      <c r="E18" s="225">
        <f>IF(ISNUMBER(IF(D_I="SI",Datos!J18,Datos!J18+Datos!AD18)),IF(D_I="SI",Datos!J18,Datos!J18+Datos!AD18)," - ")</f>
        <v>0</v>
      </c>
      <c r="F18" s="225">
        <f>IF(ISNUMBER(IF(D_I="SI",Datos!K18,Datos!K18+Datos!AE18)),IF(D_I="SI",Datos!K18,Datos!K18+Datos!AE18)," - ")</f>
        <v>1</v>
      </c>
      <c r="G18" s="1029" t="str">
        <f>IF(Datos!E18&lt;&gt;"",Datos!E18,Datos!D18)</f>
        <v>37</v>
      </c>
      <c r="H18" s="226">
        <f>IF(ISNUMBER(IF(D_I="SI",Datos!L18,Datos!L18+Datos!AF18)),IF(D_I="SI",Datos!L18,Datos!L18+Datos!AF18)," - ")</f>
        <v>55</v>
      </c>
      <c r="I18" s="1039" t="str">
        <f>IF(ISNUMBER(Datos!AS18/Datos!BM18),Datos!AS18/Datos!BM18," - ")</f>
        <v xml:space="preserve"> - </v>
      </c>
      <c r="J18" s="1040" t="str">
        <f>IF(ISNUMBER((Datos!BY18+Datos!BZ18)/Datos!CN18),(Datos!BY18+Datos!BZ18)/Datos!CN18," - ")</f>
        <v xml:space="preserve"> - </v>
      </c>
      <c r="K18" s="229">
        <f t="shared" si="3"/>
        <v>-1.7857142857142856E-2</v>
      </c>
      <c r="L18" s="1020">
        <f>IF(ISNUMBER(NºAsuntos!I18/NºAsuntos!G18),(NºAsuntos!I18/NºAsuntos!G18)*11," - ")</f>
        <v>605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3234</v>
      </c>
      <c r="D19" s="1044">
        <f>SUBTOTAL(9,D15:D18)</f>
        <v>3164</v>
      </c>
      <c r="E19" s="1045">
        <f>SUBTOTAL(9,E15:E18)</f>
        <v>2074</v>
      </c>
      <c r="F19" s="1045">
        <f>SUBTOTAL(9,F15:F18)</f>
        <v>2539</v>
      </c>
      <c r="G19" s="1047" t="str">
        <f ca="1">INDIRECT(CONCATENATE("G",ROW()-1))</f>
        <v>37</v>
      </c>
      <c r="H19" s="1048">
        <f ca="1">SUMIF(G$14:G18,G19,H$14:H18)</f>
        <v>55</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3265</v>
      </c>
      <c r="D20" s="1066">
        <f>SUBTOTAL(9,D9:D19)</f>
        <v>3195</v>
      </c>
      <c r="E20" s="1067">
        <f>SUBTOTAL(9,E9:E19)</f>
        <v>2074</v>
      </c>
      <c r="F20" s="1067">
        <f>SUBTOTAL(9,F9:F19)</f>
        <v>2539</v>
      </c>
      <c r="G20" s="1068"/>
      <c r="H20" s="1069">
        <f ca="1">SUMIF(B9:B19,"TOTAL",H9:H19)</f>
        <v>55</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VDvCTTUAwfSeFMA9Ob6EAke+GNR7JRO+2Nw2ahc4TIz/WcQ0VALrD/EMs/gW4TYj3pH3GbGtXXbNW/Hq83WaAw==" saltValue="/chn2o1wZZ6imWMJf/fPo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l0o4oFfu9Zpk8Khmeqa7LdS03AXAWb7QPIjRu/sBW0DdaAV7COvQ2hzoBpumilgoxHquCnIEWVDM5VGcEanYoQ==" saltValue="Qvvr/PjzzzTkaRu20eO2M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CANARIAS</v>
      </c>
    </row>
    <row r="4" spans="1:156" ht="13.5" thickBot="1">
      <c r="A4" t="str">
        <f>Criterios!A10</f>
        <v>Provincias</v>
      </c>
      <c r="B4" t="str">
        <f>Criterios!B10</f>
        <v>LAS PALMAS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12628</v>
      </c>
      <c r="J9" s="180">
        <v>3842</v>
      </c>
      <c r="K9" s="180">
        <v>3080</v>
      </c>
      <c r="L9" s="180">
        <v>13390</v>
      </c>
      <c r="M9" s="180">
        <v>1115</v>
      </c>
      <c r="N9" s="180">
        <v>1642</v>
      </c>
      <c r="O9" s="180">
        <v>716</v>
      </c>
      <c r="P9" s="180">
        <v>599</v>
      </c>
      <c r="Q9" s="180">
        <v>216</v>
      </c>
      <c r="R9" s="180">
        <v>12372</v>
      </c>
      <c r="S9" s="180">
        <v>13717</v>
      </c>
      <c r="T9" s="180">
        <v>4474</v>
      </c>
      <c r="U9" s="180">
        <v>5165</v>
      </c>
      <c r="V9" s="180">
        <v>13026</v>
      </c>
      <c r="W9" s="180">
        <v>1457</v>
      </c>
      <c r="X9" s="187">
        <v>2859</v>
      </c>
      <c r="Y9" s="190">
        <v>418</v>
      </c>
      <c r="Z9" s="180">
        <v>249</v>
      </c>
      <c r="AA9" s="180">
        <v>223</v>
      </c>
      <c r="AB9" s="180">
        <v>444</v>
      </c>
      <c r="AC9" s="180">
        <v>0</v>
      </c>
      <c r="AD9" s="180">
        <v>0</v>
      </c>
      <c r="AE9" s="180">
        <v>0</v>
      </c>
      <c r="AF9" s="187">
        <v>0</v>
      </c>
      <c r="AG9" s="190">
        <v>297</v>
      </c>
      <c r="AH9" s="180">
        <v>220</v>
      </c>
      <c r="AI9" s="180">
        <v>167</v>
      </c>
      <c r="AJ9" s="191">
        <v>350</v>
      </c>
      <c r="AK9" s="179">
        <v>0</v>
      </c>
      <c r="AL9" s="180">
        <v>0</v>
      </c>
      <c r="AM9" s="180">
        <v>0</v>
      </c>
      <c r="AN9" s="187">
        <v>0</v>
      </c>
      <c r="AO9" s="257">
        <v>6</v>
      </c>
      <c r="AP9" s="153">
        <v>6</v>
      </c>
      <c r="AQ9" s="153">
        <v>6</v>
      </c>
      <c r="AR9" s="192">
        <v>6</v>
      </c>
      <c r="AS9" s="337" t="s">
        <v>763</v>
      </c>
      <c r="AT9" s="194"/>
      <c r="AU9" s="193"/>
      <c r="AV9" s="194"/>
      <c r="AW9" s="193"/>
      <c r="AX9" s="194"/>
      <c r="AY9" s="123">
        <f>IF(ISNUMBER(IF(J_V="SI",S9,S9+AG9)),IF(J_V="SI",S9,S9+AG9)," - ")</f>
        <v>14014</v>
      </c>
      <c r="AZ9" s="123">
        <f>IF(ISNUMBER(IF(J_V="SI",T9,T9+AH9)),IF(J_V="SI",T9,T9+AH9)," - ")</f>
        <v>4694</v>
      </c>
      <c r="BA9" s="124">
        <f>IF(ISNUMBER(IF(J_V="SI",U9,U9+AI9)),IF(J_V="SI",U9,U9+AI9)," - ")</f>
        <v>5332</v>
      </c>
      <c r="BB9" s="124">
        <f>IF(ISNUMBER(IF(J_V="SI",V9,V9+AJ9)),IF(J_V="SI",V9,V9+AJ9)," - ")</f>
        <v>13376</v>
      </c>
      <c r="BC9" s="125">
        <f>IF(ISNUMBER(X9),X9," - ")</f>
        <v>2859</v>
      </c>
      <c r="BD9" s="126">
        <f>IF(ISNUMBER(BA9/AZ9),BA9/AZ9," - ")</f>
        <v>1.1359181934384321</v>
      </c>
      <c r="BE9" s="127">
        <f>IF(ISNUMBER(BB9/BA9),BB9/BA9, " - ")</f>
        <v>2.5086271567891973</v>
      </c>
      <c r="BF9" s="127">
        <f>IF(ISNUMBER(BC9/BA9),BC9/BA9, " - ")</f>
        <v>0.53619654913728432</v>
      </c>
      <c r="BG9" s="195">
        <f>IF(ISNUMBER((AY9+AZ9)/BA9),(AY9+AZ9)/BA9," - ")</f>
        <v>3.5086271567891973</v>
      </c>
      <c r="BH9" s="153">
        <v>6</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31</v>
      </c>
      <c r="J10" s="180">
        <v>0</v>
      </c>
      <c r="K10" s="180">
        <v>0</v>
      </c>
      <c r="L10" s="180">
        <v>31</v>
      </c>
      <c r="M10" s="180">
        <v>0</v>
      </c>
      <c r="N10" s="180">
        <v>0</v>
      </c>
      <c r="O10" s="180">
        <v>0</v>
      </c>
      <c r="P10" s="180">
        <v>0</v>
      </c>
      <c r="Q10" s="180">
        <v>0</v>
      </c>
      <c r="R10" s="180">
        <v>95</v>
      </c>
      <c r="S10" s="180">
        <v>91</v>
      </c>
      <c r="T10" s="180">
        <v>0</v>
      </c>
      <c r="U10" s="180">
        <v>39</v>
      </c>
      <c r="V10" s="180">
        <v>52</v>
      </c>
      <c r="W10" s="180">
        <v>33</v>
      </c>
      <c r="X10" s="187">
        <v>3</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91</v>
      </c>
      <c r="AZ10" s="129">
        <f t="shared" si="0"/>
        <v>0</v>
      </c>
      <c r="BA10" s="129">
        <f t="shared" si="0"/>
        <v>39</v>
      </c>
      <c r="BB10" s="129">
        <f t="shared" si="0"/>
        <v>52</v>
      </c>
      <c r="BC10" s="125">
        <f t="shared" si="0"/>
        <v>33</v>
      </c>
      <c r="BD10" s="126" t="str">
        <f>IF(ISNUMBER(BA10/AZ10),BA10/AZ10," - ")</f>
        <v xml:space="preserve"> - </v>
      </c>
      <c r="BE10" s="127">
        <f>IF(ISNUMBER(BB10/BA10),BB10/BA10, " - ")</f>
        <v>1.3333333333333333</v>
      </c>
      <c r="BF10" s="127">
        <f>IF(ISNUMBER(BC10/BA10),BC10/BA10, " - ")</f>
        <v>0.84615384615384615</v>
      </c>
      <c r="BG10" s="195">
        <f>IF(ISNUMBER((AY10+AZ10)/BA10),(AY10+AZ10)/BA10," - ")</f>
        <v>2.3333333333333335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12659</v>
      </c>
      <c r="J13" s="183">
        <f t="shared" si="6"/>
        <v>3842</v>
      </c>
      <c r="K13" s="183">
        <f t="shared" si="6"/>
        <v>3080</v>
      </c>
      <c r="L13" s="183">
        <f t="shared" si="6"/>
        <v>13421</v>
      </c>
      <c r="M13" s="183">
        <f t="shared" si="6"/>
        <v>1115</v>
      </c>
      <c r="N13" s="183">
        <f t="shared" si="6"/>
        <v>1642</v>
      </c>
      <c r="O13" s="183">
        <f t="shared" si="6"/>
        <v>716</v>
      </c>
      <c r="P13" s="183">
        <f t="shared" si="6"/>
        <v>599</v>
      </c>
      <c r="Q13" s="183">
        <f t="shared" si="6"/>
        <v>216</v>
      </c>
      <c r="R13" s="183">
        <f t="shared" si="6"/>
        <v>12467</v>
      </c>
      <c r="S13" s="183">
        <f t="shared" si="6"/>
        <v>13808</v>
      </c>
      <c r="T13" s="183">
        <f t="shared" si="6"/>
        <v>4474</v>
      </c>
      <c r="U13" s="183">
        <f t="shared" si="6"/>
        <v>5204</v>
      </c>
      <c r="V13" s="183">
        <f t="shared" si="6"/>
        <v>13078</v>
      </c>
      <c r="W13" s="183">
        <f t="shared" si="6"/>
        <v>1490</v>
      </c>
      <c r="X13" s="183">
        <f t="shared" si="6"/>
        <v>2862</v>
      </c>
      <c r="Y13" s="183">
        <f t="shared" si="6"/>
        <v>418</v>
      </c>
      <c r="Z13" s="183">
        <f t="shared" si="6"/>
        <v>249</v>
      </c>
      <c r="AA13" s="183">
        <f t="shared" si="6"/>
        <v>223</v>
      </c>
      <c r="AB13" s="183">
        <f t="shared" si="6"/>
        <v>444</v>
      </c>
      <c r="AC13" s="183">
        <f t="shared" si="6"/>
        <v>0</v>
      </c>
      <c r="AD13" s="183">
        <f t="shared" si="6"/>
        <v>0</v>
      </c>
      <c r="AE13" s="183">
        <f t="shared" si="6"/>
        <v>0</v>
      </c>
      <c r="AF13" s="183">
        <f>SUBTOTAL(9,AF9:AF12)</f>
        <v>0</v>
      </c>
      <c r="AG13" s="183">
        <f t="shared" ref="AG13:AT13" si="7">SUBTOTAL(9,AG8:AG12)</f>
        <v>297</v>
      </c>
      <c r="AH13" s="183">
        <f t="shared" si="7"/>
        <v>220</v>
      </c>
      <c r="AI13" s="183">
        <f t="shared" si="7"/>
        <v>167</v>
      </c>
      <c r="AJ13" s="183">
        <f t="shared" si="7"/>
        <v>350</v>
      </c>
      <c r="AK13" s="183">
        <f t="shared" si="7"/>
        <v>0</v>
      </c>
      <c r="AL13" s="183">
        <f t="shared" si="7"/>
        <v>0</v>
      </c>
      <c r="AM13" s="183">
        <f t="shared" si="7"/>
        <v>0</v>
      </c>
      <c r="AN13" s="183">
        <f t="shared" si="7"/>
        <v>0</v>
      </c>
      <c r="AO13" s="183">
        <f t="shared" si="7"/>
        <v>7</v>
      </c>
      <c r="AP13" s="183">
        <f t="shared" si="7"/>
        <v>6</v>
      </c>
      <c r="AQ13" s="183">
        <f t="shared" si="7"/>
        <v>6</v>
      </c>
      <c r="AR13" s="183">
        <f t="shared" si="7"/>
        <v>6</v>
      </c>
      <c r="AS13" s="183">
        <f t="shared" si="7"/>
        <v>0</v>
      </c>
      <c r="AT13" s="183">
        <f t="shared" si="7"/>
        <v>0</v>
      </c>
      <c r="AU13" s="203"/>
      <c r="AV13" s="132"/>
      <c r="AW13" s="203"/>
      <c r="AX13" s="132"/>
      <c r="AY13" s="183">
        <f>SUBTOTAL(9,AY8:AY12)</f>
        <v>14105</v>
      </c>
      <c r="AZ13" s="183">
        <f>SUBTOTAL(9,AZ8:AZ12)</f>
        <v>4694</v>
      </c>
      <c r="BA13" s="183">
        <f>SUBTOTAL(9,BA8:BA12)</f>
        <v>5371</v>
      </c>
      <c r="BB13" s="183">
        <f>SUBTOTAL(9,BB8:BB12)</f>
        <v>13428</v>
      </c>
      <c r="BC13" s="183">
        <f>SUBTOTAL(9,BC8:BC12)</f>
        <v>2892</v>
      </c>
      <c r="BD13" s="204">
        <f>IF(ISNUMBER(BA13/AZ13),BA13/AZ13," - ")</f>
        <v>1.1442266723476779</v>
      </c>
      <c r="BE13" s="205">
        <f>IF(ISNUMBER(BB13/BA13),BB13/BA13, " - ")</f>
        <v>2.5000930925339788</v>
      </c>
      <c r="BF13" s="205">
        <f>IF(ISNUMBER(BC13/BA13),BC13/BA13, " - ")</f>
        <v>0.53844721653323402</v>
      </c>
      <c r="BG13" s="206">
        <f>IF(ISNUMBER((AY13+AZ13)/BA13),(AY13+AZ13)/BA13," - ")</f>
        <v>3.5000930925339788</v>
      </c>
      <c r="BH13" s="139">
        <f>SUBTOTAL(9,BH8:BH12)</f>
        <v>7</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3107</v>
      </c>
      <c r="J15" s="182">
        <v>2074</v>
      </c>
      <c r="K15" s="182">
        <v>2538</v>
      </c>
      <c r="L15" s="182">
        <v>2713</v>
      </c>
      <c r="M15" s="182">
        <v>341</v>
      </c>
      <c r="N15" s="182">
        <v>1458</v>
      </c>
      <c r="O15" s="180">
        <v>0</v>
      </c>
      <c r="P15" s="182">
        <v>83</v>
      </c>
      <c r="Q15" s="182">
        <v>210</v>
      </c>
      <c r="R15" s="182">
        <v>342</v>
      </c>
      <c r="S15" s="182">
        <v>3306</v>
      </c>
      <c r="T15" s="182">
        <v>2158</v>
      </c>
      <c r="U15" s="182">
        <v>2393</v>
      </c>
      <c r="V15" s="182">
        <v>3067</v>
      </c>
      <c r="W15" s="182">
        <v>381</v>
      </c>
      <c r="X15" s="188">
        <v>1540</v>
      </c>
      <c r="Y15" s="201">
        <v>0</v>
      </c>
      <c r="Z15" s="182">
        <v>0</v>
      </c>
      <c r="AA15" s="182">
        <v>0</v>
      </c>
      <c r="AB15" s="182">
        <v>0</v>
      </c>
      <c r="AC15" s="182">
        <v>0</v>
      </c>
      <c r="AD15" s="182">
        <v>0</v>
      </c>
      <c r="AE15" s="182">
        <v>0</v>
      </c>
      <c r="AF15" s="188">
        <v>0</v>
      </c>
      <c r="AG15" s="201">
        <v>0</v>
      </c>
      <c r="AH15" s="182">
        <v>0</v>
      </c>
      <c r="AI15" s="182">
        <v>0</v>
      </c>
      <c r="AJ15" s="202">
        <v>0</v>
      </c>
      <c r="AK15" s="181">
        <v>0</v>
      </c>
      <c r="AL15" s="182">
        <v>0</v>
      </c>
      <c r="AM15" s="182">
        <v>0</v>
      </c>
      <c r="AN15" s="188">
        <v>0</v>
      </c>
      <c r="AO15" s="258">
        <v>3</v>
      </c>
      <c r="AP15" s="154">
        <v>3</v>
      </c>
      <c r="AQ15" s="154">
        <v>3</v>
      </c>
      <c r="AR15" s="154">
        <v>3</v>
      </c>
      <c r="AS15" s="339" t="s">
        <v>520</v>
      </c>
      <c r="AT15" s="202" t="s">
        <v>327</v>
      </c>
      <c r="AU15" s="201"/>
      <c r="AV15" s="202"/>
      <c r="AW15" s="201"/>
      <c r="AX15" s="202"/>
      <c r="AY15" s="128">
        <f t="shared" ref="AY15:BB17" si="9">IF(ISNUMBER(IF(D_I="SI",S15,S15+AK15)),IF(D_I="SI",S15,S15+AK15)," - ")</f>
        <v>3306</v>
      </c>
      <c r="AZ15" s="129">
        <f t="shared" si="9"/>
        <v>2158</v>
      </c>
      <c r="BA15" s="129">
        <f t="shared" si="9"/>
        <v>2393</v>
      </c>
      <c r="BB15" s="129">
        <f t="shared" si="9"/>
        <v>3067</v>
      </c>
      <c r="BC15" s="125">
        <f>IF(ISNUMBER(W15),W15," - ")</f>
        <v>381</v>
      </c>
      <c r="BD15" s="126">
        <f>IF(ISNUMBER(BA15/AZ15),BA15/AZ15," - ")</f>
        <v>1.1088971269694161</v>
      </c>
      <c r="BE15" s="127">
        <f>IF(ISNUMBER(BB15/BA15),BB15/BA15, " - ")</f>
        <v>1.2816548265775178</v>
      </c>
      <c r="BF15" s="127">
        <f>IF(ISNUMBER(BC15/BA15),BC15/BA15, " - ")</f>
        <v>0.15921437526117843</v>
      </c>
      <c r="BG15" s="195">
        <f t="shared" ref="BG15:BG17" si="10">IF(ISNUMBER((AY15+AZ15)/BA15),(AY15+AZ15)/BA15," - ")</f>
        <v>2.2833263685750103</v>
      </c>
      <c r="BH15" s="154">
        <v>3</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v>
      </c>
      <c r="J17" s="182">
        <v>0</v>
      </c>
      <c r="K17" s="182">
        <v>0</v>
      </c>
      <c r="L17" s="182">
        <v>1</v>
      </c>
      <c r="M17" s="182">
        <v>0</v>
      </c>
      <c r="N17" s="182">
        <v>0</v>
      </c>
      <c r="O17" s="180">
        <v>0</v>
      </c>
      <c r="P17" s="182">
        <v>0</v>
      </c>
      <c r="Q17" s="182">
        <v>0</v>
      </c>
      <c r="R17" s="182">
        <v>0</v>
      </c>
      <c r="S17" s="182">
        <v>1</v>
      </c>
      <c r="T17" s="182">
        <v>0</v>
      </c>
      <c r="U17" s="182">
        <v>0</v>
      </c>
      <c r="V17" s="182">
        <v>1</v>
      </c>
      <c r="W17" s="182">
        <v>0</v>
      </c>
      <c r="X17" s="188">
        <v>0</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0</v>
      </c>
      <c r="AP17" s="154">
        <v>0</v>
      </c>
      <c r="AQ17" s="154">
        <v>0</v>
      </c>
      <c r="AR17" s="154">
        <v>0</v>
      </c>
      <c r="AS17" s="339" t="s">
        <v>486</v>
      </c>
      <c r="AT17" s="202"/>
      <c r="AU17" s="201"/>
      <c r="AV17" s="202"/>
      <c r="AW17" s="201"/>
      <c r="AX17" s="202"/>
      <c r="AY17" s="126">
        <f t="shared" si="9"/>
        <v>1</v>
      </c>
      <c r="AZ17" s="127">
        <f t="shared" si="9"/>
        <v>0</v>
      </c>
      <c r="BA17" s="127">
        <f t="shared" si="9"/>
        <v>0</v>
      </c>
      <c r="BB17" s="127">
        <f t="shared" si="9"/>
        <v>1</v>
      </c>
      <c r="BC17" s="125">
        <f>IF(ISNUMBER(W17),W17," - ")</f>
        <v>0</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56</v>
      </c>
      <c r="J18" s="182">
        <v>0</v>
      </c>
      <c r="K18" s="182">
        <v>1</v>
      </c>
      <c r="L18" s="182">
        <v>55</v>
      </c>
      <c r="M18" s="182">
        <v>0</v>
      </c>
      <c r="N18" s="182">
        <v>0</v>
      </c>
      <c r="O18" s="182">
        <v>0</v>
      </c>
      <c r="P18" s="182">
        <v>0</v>
      </c>
      <c r="Q18" s="182">
        <v>0</v>
      </c>
      <c r="R18" s="182">
        <v>0</v>
      </c>
      <c r="S18" s="182">
        <v>111</v>
      </c>
      <c r="T18" s="182">
        <v>0</v>
      </c>
      <c r="U18" s="182">
        <v>25</v>
      </c>
      <c r="V18" s="182">
        <v>86</v>
      </c>
      <c r="W18" s="182">
        <v>0</v>
      </c>
      <c r="X18" s="188">
        <v>17</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111</v>
      </c>
      <c r="AZ18" s="129">
        <f t="shared" si="19"/>
        <v>0</v>
      </c>
      <c r="BA18" s="129">
        <f t="shared" si="19"/>
        <v>25</v>
      </c>
      <c r="BB18" s="129">
        <f t="shared" si="19"/>
        <v>86</v>
      </c>
      <c r="BC18" s="125">
        <f>IF(ISNUMBER(W18),W18," - ")</f>
        <v>0</v>
      </c>
      <c r="BD18" s="126" t="str">
        <f>IF(ISNUMBER(BA18/AZ18),BA18/AZ18," - ")</f>
        <v xml:space="preserve"> - </v>
      </c>
      <c r="BE18" s="127">
        <f>IF(ISNUMBER(BB18/BA18),BB18/BA18, " - ")</f>
        <v>3.44</v>
      </c>
      <c r="BF18" s="127">
        <f>IF(ISNUMBER(BC18/BA18),BC18/BA18, " - ")</f>
        <v>0</v>
      </c>
      <c r="BG18" s="195">
        <f>IF(ISNUMBER((AY18+AZ18)/BA18),(AY18+AZ18)/BA18," - ")</f>
        <v>4.4400000000000004</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3164</v>
      </c>
      <c r="J19" s="183">
        <f t="shared" si="20"/>
        <v>2074</v>
      </c>
      <c r="K19" s="183">
        <f t="shared" si="20"/>
        <v>2539</v>
      </c>
      <c r="L19" s="183">
        <f t="shared" si="20"/>
        <v>2769</v>
      </c>
      <c r="M19" s="183">
        <f t="shared" si="20"/>
        <v>341</v>
      </c>
      <c r="N19" s="183">
        <f t="shared" si="20"/>
        <v>1458</v>
      </c>
      <c r="O19" s="183">
        <f t="shared" si="20"/>
        <v>0</v>
      </c>
      <c r="P19" s="183">
        <f t="shared" si="20"/>
        <v>83</v>
      </c>
      <c r="Q19" s="183">
        <f t="shared" si="20"/>
        <v>210</v>
      </c>
      <c r="R19" s="183">
        <f t="shared" si="20"/>
        <v>342</v>
      </c>
      <c r="S19" s="183">
        <f t="shared" si="20"/>
        <v>3418</v>
      </c>
      <c r="T19" s="183">
        <f t="shared" si="20"/>
        <v>2158</v>
      </c>
      <c r="U19" s="183">
        <f t="shared" si="20"/>
        <v>2418</v>
      </c>
      <c r="V19" s="183">
        <f t="shared" si="20"/>
        <v>3154</v>
      </c>
      <c r="W19" s="183">
        <f t="shared" si="20"/>
        <v>381</v>
      </c>
      <c r="X19" s="183">
        <f t="shared" si="20"/>
        <v>1557</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4</v>
      </c>
      <c r="AP19" s="183">
        <f t="shared" si="20"/>
        <v>3</v>
      </c>
      <c r="AQ19" s="183">
        <f t="shared" si="20"/>
        <v>3</v>
      </c>
      <c r="AR19" s="183">
        <f t="shared" si="20"/>
        <v>3</v>
      </c>
      <c r="AS19" s="183">
        <f t="shared" si="20"/>
        <v>0</v>
      </c>
      <c r="AT19" s="183">
        <f t="shared" si="20"/>
        <v>0</v>
      </c>
      <c r="AU19" s="203"/>
      <c r="AV19" s="132"/>
      <c r="AW19" s="203"/>
      <c r="AX19" s="132"/>
      <c r="AY19" s="183">
        <f>SUBTOTAL(9,AY14:AY18)</f>
        <v>3418</v>
      </c>
      <c r="AZ19" s="183">
        <f>SUBTOTAL(9,AZ14:AZ18)</f>
        <v>2158</v>
      </c>
      <c r="BA19" s="183">
        <f>SUBTOTAL(9,BA14:BA18)</f>
        <v>2418</v>
      </c>
      <c r="BB19" s="183">
        <f>SUBTOTAL(9,BB14:BB18)</f>
        <v>3154</v>
      </c>
      <c r="BC19" s="183">
        <f>SUBTOTAL(9,BC14:BC18)</f>
        <v>381</v>
      </c>
      <c r="BD19" s="204">
        <f>IF(ISNUMBER(BA19/AZ19),BA19/AZ19," - ")</f>
        <v>1.1204819277108433</v>
      </c>
      <c r="BE19" s="205">
        <f>IF(ISNUMBER(BB19/BA19),BB19/BA19, " - ")</f>
        <v>1.304383788254756</v>
      </c>
      <c r="BF19" s="205">
        <f>IF(ISNUMBER(BC19/BA19),BC19/BA19, " - ")</f>
        <v>0.15756823821339949</v>
      </c>
      <c r="BG19" s="206">
        <f>IF(ISNUMBER((AY19+AZ19)/BA19),(AY19+AZ19)/BA19," - ")</f>
        <v>2.3060380479735318</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15823</v>
      </c>
      <c r="J20" s="134">
        <f t="shared" si="23"/>
        <v>5916</v>
      </c>
      <c r="K20" s="134">
        <f t="shared" si="23"/>
        <v>5619</v>
      </c>
      <c r="L20" s="134">
        <f t="shared" si="23"/>
        <v>16190</v>
      </c>
      <c r="M20" s="134">
        <f t="shared" si="23"/>
        <v>1456</v>
      </c>
      <c r="N20" s="134">
        <f t="shared" si="23"/>
        <v>3100</v>
      </c>
      <c r="O20" s="134">
        <f t="shared" si="23"/>
        <v>716</v>
      </c>
      <c r="P20" s="134">
        <f t="shared" si="23"/>
        <v>682</v>
      </c>
      <c r="Q20" s="134">
        <f t="shared" si="23"/>
        <v>426</v>
      </c>
      <c r="R20" s="134">
        <f t="shared" si="23"/>
        <v>12809</v>
      </c>
      <c r="S20" s="134">
        <f t="shared" si="23"/>
        <v>17226</v>
      </c>
      <c r="T20" s="134">
        <f t="shared" si="23"/>
        <v>6632</v>
      </c>
      <c r="U20" s="134">
        <f t="shared" si="23"/>
        <v>7622</v>
      </c>
      <c r="V20" s="134">
        <f t="shared" si="23"/>
        <v>16232</v>
      </c>
      <c r="W20" s="134">
        <f t="shared" si="23"/>
        <v>1871</v>
      </c>
      <c r="X20" s="134">
        <f t="shared" si="23"/>
        <v>4419</v>
      </c>
      <c r="Y20" s="134">
        <f t="shared" si="23"/>
        <v>418</v>
      </c>
      <c r="Z20" s="134">
        <f t="shared" si="23"/>
        <v>249</v>
      </c>
      <c r="AA20" s="134">
        <f t="shared" si="23"/>
        <v>223</v>
      </c>
      <c r="AB20" s="134">
        <f t="shared" si="23"/>
        <v>444</v>
      </c>
      <c r="AC20" s="134">
        <f t="shared" si="23"/>
        <v>0</v>
      </c>
      <c r="AD20" s="134">
        <f t="shared" si="23"/>
        <v>0</v>
      </c>
      <c r="AE20" s="134">
        <f t="shared" si="23"/>
        <v>0</v>
      </c>
      <c r="AF20" s="134">
        <f t="shared" si="23"/>
        <v>0</v>
      </c>
      <c r="AG20" s="134">
        <f t="shared" si="23"/>
        <v>297</v>
      </c>
      <c r="AH20" s="134">
        <f t="shared" si="23"/>
        <v>220</v>
      </c>
      <c r="AI20" s="134">
        <f t="shared" si="23"/>
        <v>167</v>
      </c>
      <c r="AJ20" s="134">
        <f t="shared" si="23"/>
        <v>350</v>
      </c>
      <c r="AK20" s="134">
        <f t="shared" si="23"/>
        <v>0</v>
      </c>
      <c r="AL20" s="134">
        <f t="shared" si="23"/>
        <v>0</v>
      </c>
      <c r="AM20" s="134">
        <f t="shared" si="23"/>
        <v>0</v>
      </c>
      <c r="AN20" s="209">
        <f t="shared" si="23"/>
        <v>0</v>
      </c>
      <c r="AO20" s="210">
        <v>10</v>
      </c>
      <c r="AP20" s="210">
        <v>9</v>
      </c>
      <c r="AQ20" s="210">
        <v>9</v>
      </c>
      <c r="AR20" s="210">
        <v>9</v>
      </c>
      <c r="AS20" s="152">
        <f t="shared" si="23"/>
        <v>0</v>
      </c>
      <c r="AT20" s="152">
        <f t="shared" si="23"/>
        <v>0</v>
      </c>
      <c r="AU20" s="210"/>
      <c r="AV20" s="211"/>
      <c r="AW20" s="210"/>
      <c r="AX20" s="211"/>
      <c r="AY20" s="133">
        <f>SUBTOTAL(9,AY9:AY19)</f>
        <v>17523</v>
      </c>
      <c r="AZ20" s="134">
        <f>SUBTOTAL(9,AZ9:AZ19)</f>
        <v>6852</v>
      </c>
      <c r="BA20" s="134">
        <f>SUBTOTAL(9,BA9:BA19)</f>
        <v>7789</v>
      </c>
      <c r="BB20" s="134">
        <f>SUBTOTAL(9,BB9:BB19)</f>
        <v>16582</v>
      </c>
      <c r="BC20" s="135">
        <f>SUBTOTAL(9,BC9:BC19)</f>
        <v>3273</v>
      </c>
      <c r="BD20" s="212">
        <f>IF(ISNUMBER(BA20/AZ20),BA20/AZ20," - ")</f>
        <v>1.1367483946293053</v>
      </c>
      <c r="BE20" s="209">
        <f>IF(ISNUMBER(BB20/BA20),BB20/BA20, " - ")</f>
        <v>2.1288997303890103</v>
      </c>
      <c r="BF20" s="209">
        <f>IF(ISNUMBER(BC20/BA20),BC20/BA20, " - ")</f>
        <v>0.42020798562074718</v>
      </c>
      <c r="BG20" s="135">
        <f>IF(ISNUMBER((AY20+AZ20)/BA20),(AY20+AZ20)/BA20," - ")</f>
        <v>3.1294132751315957</v>
      </c>
      <c r="BH20" s="210">
        <f>SUBTOTAL(9,BH9:BH19)</f>
        <v>11</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rHd2G17TM6GT8BJ45p8ZoTSLV5wz1TITls3NV2bgPQTKybF6I82TuxghXM3Asd04fBiYypEIrQQahiAt6ZQYiQ==" saltValue="oea8YfXVr8NFG0MlfU/Pr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CANARIAS</v>
      </c>
    </row>
    <row r="4" spans="1:156" ht="13.5" thickBot="1">
      <c r="A4" t="str">
        <f>Criterios!A10</f>
        <v>Provincias</v>
      </c>
      <c r="B4" t="str">
        <f>Criterios!B10</f>
        <v>LAS PALMAS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iMNG+K64O/UflB0RLHKFUevAKr5cxa289Ax/M8itjuADbyy4M11vdVMZexDws0C986SSq3kI3GlA+CFocmr5dQ==" saltValue="IBDQjQ8tKEQkygMJzu4zt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CANARIAS</v>
      </c>
    </row>
    <row r="2" spans="1:78" ht="16.5" customHeight="1">
      <c r="C2" s="487" t="str">
        <f>Criterios!A10 &amp;"  "&amp;Criterios!B10 &amp; "  " &amp; IF(NOT(ISBLANK(Criterios!A11)),Criterios!A11 &amp;"  "&amp;Criterios!B11,"")</f>
        <v>Provincias  LAS PALMAS  Resumenes por Partidos Judiciales  TELDE</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6</v>
      </c>
      <c r="B9" s="500" t="s">
        <v>247</v>
      </c>
      <c r="C9" s="159" t="str">
        <f>Datos!A9</f>
        <v>Sección Civil del T.I</v>
      </c>
      <c r="D9" s="501"/>
      <c r="E9" s="259">
        <f>IF(ISNUMBER(Datos!AQ9),Datos!AQ9," - ")</f>
        <v>6</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249</v>
      </c>
      <c r="O9" s="333"/>
      <c r="P9" s="333"/>
      <c r="Q9" s="225">
        <f>IF(ISNUMBER(Datos!P9),Datos!P9,0)</f>
        <v>599</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216</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444</v>
      </c>
      <c r="AI9" s="333" t="str">
        <f>IF(ISNUMBER(Datos!CD9),Datos!CD9,"-")</f>
        <v>-</v>
      </c>
      <c r="AJ9" s="333" t="str">
        <f>IF(ISNUMBER(Datos!EN9),Datos!EN9," - ")</f>
        <v xml:space="preserve"> - </v>
      </c>
      <c r="AK9" s="333"/>
      <c r="AL9" s="478"/>
      <c r="AM9" s="334">
        <f>IF(ISNUMBER(Datos!R9),Datos!R9," - ")</f>
        <v>12372</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1115</v>
      </c>
      <c r="BD9" s="228">
        <f>IF(ISNUMBER(Datos!N9),Datos!N9," - ")</f>
        <v>1642</v>
      </c>
      <c r="BE9" s="228" t="str">
        <f>IF(ISNUMBER(Datos!BW9),Datos!BW9," - ")</f>
        <v xml:space="preserve"> - </v>
      </c>
      <c r="BF9" s="227" t="str">
        <f>IF(ISNUMBER(Datos!BX9),Datos!BX9," - ")</f>
        <v xml:space="preserve"> - </v>
      </c>
      <c r="BG9" s="242">
        <f>IF(ISNUMBER(IF(J_V="SI",Datos!K9/Datos!J9,(Datos!K9+Datos!AA9)/(Datos!J9+Datos!Z9))),IF(J_V="SI",Datos!K9/Datos!J9,(Datos!K9+Datos!AA9)/(Datos!J9+Datos!Z9))," - ")</f>
        <v>0.80738205817648501</v>
      </c>
      <c r="BH9" s="259">
        <f>IF(ISNUMBER(((IF(J_V="SI",Datos!L9/Datos!K9,(Datos!L9+Datos!AB9)/(Datos!K9+Datos!AA9)))*11)/factor_trimestre),((IF(J_V="SI",Datos!L9/Datos!K9,(Datos!L9+Datos!AB9)/(Datos!K9+Datos!AA9)))*11)/factor_trimestre," - ")</f>
        <v>12.564940962761128</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3.1945950454583365E-2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31</v>
      </c>
      <c r="G10" s="332">
        <f>IF(ISNUMBER(Datos!I10),Datos!I10," - ")</f>
        <v>31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31</v>
      </c>
      <c r="AG10" s="333"/>
      <c r="AH10" s="333"/>
      <c r="AI10" s="333"/>
      <c r="AJ10" s="333"/>
      <c r="AK10" s="333"/>
      <c r="AL10" s="478"/>
      <c r="AM10" s="334">
        <f>IF(ISNUMBER(Datos!R10),Datos!R10," - ")</f>
        <v>95</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6</v>
      </c>
      <c r="F13" s="895">
        <f t="shared" si="0"/>
        <v>31</v>
      </c>
      <c r="G13" s="895">
        <f t="shared" si="0"/>
        <v>31</v>
      </c>
      <c r="H13" s="896">
        <f t="shared" si="0"/>
        <v>0</v>
      </c>
      <c r="I13" s="895">
        <f t="shared" si="0"/>
        <v>0</v>
      </c>
      <c r="J13" s="864">
        <f t="shared" si="0"/>
        <v>0</v>
      </c>
      <c r="K13" s="864">
        <f t="shared" si="0"/>
        <v>0</v>
      </c>
      <c r="L13" s="896">
        <f t="shared" si="0"/>
        <v>0</v>
      </c>
      <c r="M13" s="896">
        <f t="shared" si="0"/>
        <v>0</v>
      </c>
      <c r="N13" s="896">
        <f t="shared" si="0"/>
        <v>249</v>
      </c>
      <c r="O13" s="897">
        <f t="shared" si="0"/>
        <v>0</v>
      </c>
      <c r="P13" s="897">
        <f t="shared" si="0"/>
        <v>0</v>
      </c>
      <c r="Q13" s="896">
        <f t="shared" si="0"/>
        <v>599</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216</v>
      </c>
      <c r="AD13" s="896">
        <f t="shared" si="1"/>
        <v>0</v>
      </c>
      <c r="AE13" s="896">
        <f t="shared" si="1"/>
        <v>0</v>
      </c>
      <c r="AF13" s="896">
        <f t="shared" si="1"/>
        <v>31</v>
      </c>
      <c r="AG13" s="896">
        <f t="shared" si="1"/>
        <v>0</v>
      </c>
      <c r="AH13" s="896">
        <f t="shared" si="1"/>
        <v>444</v>
      </c>
      <c r="AI13" s="896">
        <f t="shared" si="1"/>
        <v>0</v>
      </c>
      <c r="AJ13" s="896">
        <f t="shared" si="1"/>
        <v>0</v>
      </c>
      <c r="AK13" s="896">
        <f t="shared" si="1"/>
        <v>0</v>
      </c>
      <c r="AL13" s="896">
        <f t="shared" si="1"/>
        <v>0</v>
      </c>
      <c r="AM13" s="896">
        <f t="shared" si="1"/>
        <v>12467</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1115</v>
      </c>
      <c r="BD13" s="896">
        <f t="shared" si="1"/>
        <v>1642</v>
      </c>
      <c r="BE13" s="896">
        <f t="shared" si="1"/>
        <v>0</v>
      </c>
      <c r="BF13" s="896">
        <f t="shared" si="1"/>
        <v>0</v>
      </c>
      <c r="BG13" s="896">
        <f>IF(ISNUMBER(Datos!K13/Datos!J13),Datos!K13/Datos!J13," - ")</f>
        <v>0.80166579906298807</v>
      </c>
      <c r="BH13" s="900">
        <f>IF(ISNUMBER(((Datos!L13/Datos!K13)*11)/factor_trimestre),((Datos!L13/Datos!K13)*11)/factor_trimestre," - ")</f>
        <v>13.072402597402595</v>
      </c>
      <c r="BI13" s="896">
        <f>IF(ISNUMBER('Resol  Asuntos'!D13/NºAsuntos!G13),'Resol  Asuntos'!D13/NºAsuntos!G13," - ")</f>
        <v>0.33757190432939754</v>
      </c>
      <c r="BJ13" s="896" t="str">
        <f>IF(ISNUMBER(Datos!CI13/Datos!CJ13),Datos!CI13/Datos!CJ13," - ")</f>
        <v xml:space="preserve"> - </v>
      </c>
      <c r="BK13" s="896">
        <f>SUBTOTAL(9,BK8:BK12)</f>
        <v>0</v>
      </c>
      <c r="BL13" s="896">
        <f>IF(ISNUMBER((I13-AB13+L13)/(F13)),(I13-AB13+L13)/(F13)," - ")</f>
        <v>0</v>
      </c>
      <c r="BM13" s="901">
        <f>SUBTOTAL(9,BM9:BM12)</f>
        <v>3.1945950454583365E-2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3</v>
      </c>
      <c r="B15" s="593" t="s">
        <v>397</v>
      </c>
      <c r="C15" s="598" t="str">
        <f>Datos!A15</f>
        <v xml:space="preserve">Seccion Instruccion Del T.I.                   </v>
      </c>
      <c r="D15" s="599"/>
      <c r="E15" s="1160">
        <f>IF(ISNUMBER(Datos!AQ15),Datos!AQ15," - ")</f>
        <v>3</v>
      </c>
      <c r="F15" s="594">
        <f>IF(ISNUMBER(AF15+AB15-Datos!J15-L15),AF15+AB15-Datos!J15-L15," - ")</f>
        <v>3177</v>
      </c>
      <c r="G15" s="596">
        <f>IF(ISNUMBER(IF(D_I="SI",Datos!I15,Datos!I15+Datos!AC15)),IF(D_I="SI",Datos!I15,Datos!I15+Datos!AC15)," - ")</f>
        <v>3107</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83</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2538</v>
      </c>
      <c r="AC15" s="225">
        <f>IF(ISNUMBER(Datos!Q15),Datos!Q15," - ")</f>
        <v>210</v>
      </c>
      <c r="AD15" s="333"/>
      <c r="AE15" s="483"/>
      <c r="AF15" s="1192">
        <f>IF(ISNUMBER(IF(D_I="SI",Datos!L15,Datos!L15+Datos!AF15)),IF(D_I="SI",Datos!L15,Datos!L15+Datos!AF15)," - ")</f>
        <v>2713</v>
      </c>
      <c r="AG15" s="333"/>
      <c r="AH15" s="333"/>
      <c r="AI15" s="333"/>
      <c r="AJ15" s="333"/>
      <c r="AK15" s="333"/>
      <c r="AL15" s="478"/>
      <c r="AM15" s="334">
        <f>IF(ISNUMBER(Datos!R15),Datos!R15," - ")</f>
        <v>342</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341</v>
      </c>
      <c r="BD15" s="228">
        <f>IF(ISNUMBER(Datos!N15),Datos!N15," - ")</f>
        <v>1458</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1.2237222757955641</v>
      </c>
      <c r="BH15" s="259">
        <f>IF(ISNUMBER(((IF(D_I="SI",Datos!L15/Datos!K15,(Datos!L15+Datos!AF15)/(Datos!K15+Datos!AE15)))*11)/factor_trimestre),((IF(D_I="SI",Datos!L15/Datos!K15,(Datos!L15+Datos!AF15)/(Datos!K15+Datos!AE15)))*11)/factor_trimestre," - ")</f>
        <v>3.206855791962175</v>
      </c>
      <c r="BI15" s="242">
        <f>IF(ISNUMBER('Resol  Asuntos'!D15/NºAsuntos!G15),'Resol  Asuntos'!D15/NºAsuntos!G15," - ")</f>
        <v>0.13435776201733649</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f>IF(ISNUMBER(AF17+AB17-Datos!J17-L17),AF17+AB17-Datos!J17-L17," - ")</f>
        <v>1</v>
      </c>
      <c r="G17" s="596">
        <f>IF(ISNUMBER(IF(D_I="SI",Datos!I17,Datos!I17+Datos!AC17)),IF(D_I="SI",Datos!I17,Datos!I17+Datos!AC17)," - ")</f>
        <v>1</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0</v>
      </c>
      <c r="AC17" s="225">
        <f>IF(ISNUMBER(Datos!Q17),Datos!Q17," - ")</f>
        <v>0</v>
      </c>
      <c r="AD17" s="333"/>
      <c r="AE17" s="483"/>
      <c r="AF17" s="1192">
        <f>IF(ISNUMBER(IF(D_I="SI",Datos!L17,Datos!L17+Datos!AF17)),IF(D_I="SI",Datos!L17,Datos!L17+Datos!AF17)," - ")</f>
        <v>1</v>
      </c>
      <c r="AG17" s="333"/>
      <c r="AH17" s="333"/>
      <c r="AI17" s="333"/>
      <c r="AJ17" s="333"/>
      <c r="AK17" s="333"/>
      <c r="AL17" s="478"/>
      <c r="AM17" s="334">
        <f>IF(ISNUMBER(Datos!R17),Datos!R17," - ")</f>
        <v>0</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0</v>
      </c>
      <c r="BD17" s="228">
        <f>IF(ISNUMBER(Datos!N17),Datos!N17," - ")</f>
        <v>0</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56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v>
      </c>
      <c r="AC18" s="225">
        <f>IF(ISNUMBER(Datos!Q18),Datos!Q18," - ")</f>
        <v>0</v>
      </c>
      <c r="AD18" s="333"/>
      <c r="AE18" s="483"/>
      <c r="AF18" s="331">
        <f>IF(ISNUMBER(Datos!L18),Datos!L18,"-")</f>
        <v>55</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0</v>
      </c>
      <c r="BE18" s="228" t="str">
        <f>IF(ISNUMBER(Datos!BW18),Datos!BW18," - ")</f>
        <v xml:space="preserve"> - </v>
      </c>
      <c r="BF18" s="227" t="str">
        <f>IF(ISNUMBER(Datos!BX18),Datos!BX18," - ")</f>
        <v xml:space="preserve"> - </v>
      </c>
      <c r="BG18" s="242" t="str">
        <f>IF(ISNUMBER(IF(D_I="SI",Datos!K18/Datos!J18,(Datos!K18+Datos!AE18)/(Datos!J18+Datos!AD18))),IF(D_I="SI",Datos!K18/Datos!J18,(Datos!K18+Datos!AE18)/(Datos!J18+Datos!AD18))," - ")</f>
        <v xml:space="preserve"> - </v>
      </c>
      <c r="BH18" s="259">
        <f>IF(ISNUMBER(((IF(D_I="SI",Datos!L18/Datos!K18,(Datos!L18+Datos!AF18)/(Datos!K18+Datos!AE18)))*11)/factor_trimestre),((IF(D_I="SI",Datos!L18/Datos!K18,(Datos!L18+Datos!AF18)/(Datos!K18+Datos!AE18)))*11)/factor_trimestre," - ")</f>
        <v>165</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3</v>
      </c>
      <c r="F19" s="895">
        <f>SUBTOTAL(9,F15:F18)</f>
        <v>3178</v>
      </c>
      <c r="G19" s="895">
        <f>SUBTOTAL(9,G15:G18)</f>
        <v>3164</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83</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2539</v>
      </c>
      <c r="AC19" s="896">
        <f t="shared" si="4"/>
        <v>210</v>
      </c>
      <c r="AD19" s="896">
        <f t="shared" si="4"/>
        <v>0</v>
      </c>
      <c r="AE19" s="896">
        <f t="shared" si="4"/>
        <v>0</v>
      </c>
      <c r="AF19" s="896">
        <f t="shared" si="4"/>
        <v>2769</v>
      </c>
      <c r="AG19" s="896">
        <f t="shared" si="4"/>
        <v>0</v>
      </c>
      <c r="AH19" s="896">
        <f t="shared" si="4"/>
        <v>0</v>
      </c>
      <c r="AI19" s="896">
        <f t="shared" si="4"/>
        <v>0</v>
      </c>
      <c r="AJ19" s="896">
        <f t="shared" si="4"/>
        <v>0</v>
      </c>
      <c r="AK19" s="896">
        <f t="shared" si="4"/>
        <v>0</v>
      </c>
      <c r="AL19" s="896">
        <f t="shared" si="4"/>
        <v>0</v>
      </c>
      <c r="AM19" s="896">
        <f t="shared" si="4"/>
        <v>342</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341</v>
      </c>
      <c r="BD19" s="896">
        <f t="shared" si="4"/>
        <v>1458</v>
      </c>
      <c r="BE19" s="896">
        <f t="shared" si="4"/>
        <v>0</v>
      </c>
      <c r="BF19" s="896">
        <f t="shared" si="4"/>
        <v>0</v>
      </c>
      <c r="BG19" s="896">
        <f>IF(ISNUMBER(Datos!K19/Datos!J19),Datos!K19/Datos!J19," - ")</f>
        <v>1.2242044358727098</v>
      </c>
      <c r="BH19" s="900">
        <f>IF(ISNUMBER(((Datos!L19/Datos!K19)*11)/factor_trimestre),((Datos!L19/Datos!K19)*11)/factor_trimestre," - ")</f>
        <v>3.2717605356439545</v>
      </c>
      <c r="BI19" s="896">
        <f>SUBTOTAL(9,BI15:BI18)</f>
        <v>0.13435776201733649</v>
      </c>
      <c r="BJ19" s="896">
        <f>SUBTOTAL(9,BJ15:BJ18)</f>
        <v>0</v>
      </c>
      <c r="BK19" s="896">
        <f>SUBTOTAL(9,BK15:BK18)</f>
        <v>0</v>
      </c>
      <c r="BL19" s="896">
        <f>IF(ISNUMBER((I19-AB19+L19)/(F19)),(I19-AB19+L19)/(F19)," - ")</f>
        <v>-0.79893014474512269</v>
      </c>
      <c r="BM19" s="902">
        <f>IF(ISNUMBER((Datos!P19-Datos!Q19)/(Datos!R19-Datos!P19+Datos!Q19)),(Datos!P19-Datos!Q19)/(Datos!R19-Datos!P19+Datos!Q19)," - ")</f>
        <v>-0.27078891257995735</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9</v>
      </c>
      <c r="F20" s="817">
        <f t="shared" si="6"/>
        <v>3209</v>
      </c>
      <c r="G20" s="817">
        <f t="shared" si="6"/>
        <v>3195</v>
      </c>
      <c r="H20" s="819">
        <f t="shared" si="6"/>
        <v>0</v>
      </c>
      <c r="I20" s="817">
        <f t="shared" si="6"/>
        <v>0</v>
      </c>
      <c r="J20" s="819">
        <f t="shared" si="6"/>
        <v>0</v>
      </c>
      <c r="K20" s="819">
        <f t="shared" si="6"/>
        <v>0</v>
      </c>
      <c r="L20" s="878">
        <f t="shared" si="6"/>
        <v>0</v>
      </c>
      <c r="M20" s="878">
        <f t="shared" si="6"/>
        <v>0</v>
      </c>
      <c r="N20" s="878">
        <f t="shared" si="6"/>
        <v>249</v>
      </c>
      <c r="O20" s="878">
        <f t="shared" si="6"/>
        <v>0</v>
      </c>
      <c r="P20" s="878">
        <f t="shared" si="6"/>
        <v>0</v>
      </c>
      <c r="Q20" s="819">
        <f t="shared" si="6"/>
        <v>682</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2539</v>
      </c>
      <c r="AC20" s="818">
        <f t="shared" si="7"/>
        <v>426</v>
      </c>
      <c r="AD20" s="818">
        <f t="shared" si="7"/>
        <v>0</v>
      </c>
      <c r="AE20" s="818">
        <f t="shared" si="7"/>
        <v>0</v>
      </c>
      <c r="AF20" s="825">
        <f t="shared" si="7"/>
        <v>2800</v>
      </c>
      <c r="AG20" s="825">
        <f t="shared" si="7"/>
        <v>0</v>
      </c>
      <c r="AH20" s="825">
        <f t="shared" si="7"/>
        <v>444</v>
      </c>
      <c r="AI20" s="825">
        <f t="shared" si="7"/>
        <v>0</v>
      </c>
      <c r="AJ20" s="818">
        <f t="shared" si="7"/>
        <v>0</v>
      </c>
      <c r="AK20" s="825">
        <f t="shared" si="7"/>
        <v>0</v>
      </c>
      <c r="AL20" s="825">
        <f t="shared" si="7"/>
        <v>0</v>
      </c>
      <c r="AM20" s="825">
        <f t="shared" si="7"/>
        <v>12809</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1456</v>
      </c>
      <c r="BD20" s="817">
        <f t="shared" si="7"/>
        <v>3100</v>
      </c>
      <c r="BE20" s="817">
        <f t="shared" si="7"/>
        <v>0</v>
      </c>
      <c r="BF20" s="827">
        <f t="shared" si="7"/>
        <v>0</v>
      </c>
      <c r="BG20" s="912">
        <f>IF(ISNUMBER(Datos!K20/Datos!J20),Datos!K20/Datos!J20," - ")</f>
        <v>0.94979716024340766</v>
      </c>
      <c r="BH20" s="912">
        <f>IF(ISNUMBER(((Datos!L20/Datos!K20)*11)/factor_trimestre),((Datos!L20/Datos!K20)*11)/factor_trimestre," - ")</f>
        <v>8.6438868126001065</v>
      </c>
      <c r="BI20" s="810">
        <f>IF(ISNUMBER(Datos!J20/Datos!I20),Datos!J20/Datos!I20," - ")</f>
        <v>0.37388611514883396</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-0.79121221564350264</v>
      </c>
      <c r="BM20" s="886">
        <f>IF(ISNUMBER((Datos!P20-Datos!Q20+R20)/(Datos!R20-Datos!P20+Datos!Q20-R20)),(Datos!P20-Datos!Q20+R20)/(Datos!R20-Datos!P20+Datos!Q20-R20)," - ")</f>
        <v>2.0393531426750579E-2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1065</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2.5298221281347035</v>
      </c>
      <c r="F22" s="550">
        <f>IF(ISNUMBER(STDEV(F8:F19)),STDEV(F8:F19),"-")</f>
        <v>1728.9296688992297</v>
      </c>
      <c r="G22" s="551">
        <f>IF(ISNUMBER(STDEV(G8:G19)),STDEV(G8:G19),"-")</f>
        <v>1603.99837905155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1310.7467591669515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501.26839118380485</v>
      </c>
      <c r="BD22" s="550"/>
      <c r="BE22" s="550">
        <f>IF(ISNUMBER(STDEV(BE8:BE19)),STDEV(BE8:BE19),"-")</f>
        <v>0</v>
      </c>
      <c r="BF22" s="555">
        <f>IF(ISNUMBER(STDEV(BF8:BF19)),STDEV(BF8:BF19),"-")</f>
        <v>0</v>
      </c>
      <c r="BG22" s="772">
        <f>IF(ISNUMBER(STDEV(BG8:BG19)),STDEV(BG8:BG19),"-")</f>
        <v>0.24217479028602518</v>
      </c>
      <c r="BH22" s="773">
        <f>IF(ISNUMBER(STDEV(BH8:BH19)),STDEV(BH8:BH19),"-")</f>
        <v>70.363011347660347</v>
      </c>
      <c r="BI22" s="248">
        <f>IF(ISNUMBER(STDEV(BI8:BI19)),STDEV(BI8:BI19),"-")</f>
        <v>0.13923923725386086</v>
      </c>
      <c r="BJ22" s="229" t="str">
        <f>IF(ISNUMBER(BL22/BM22),BL22/BM22," - ")</f>
        <v xml:space="preserve"> - </v>
      </c>
      <c r="BK22" s="574"/>
      <c r="BL22" s="558">
        <f>IF(ISNUMBER(STDEV(BL8:BL19)),STDEV(BL8:BL19),"-")</f>
        <v>0.56492892304362619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Ww+24iMf9uUmMWUr6Fls1ZYNL4ZQwaCKUkq1neq4mnExkRL8JWbtUpOxLvou86fd/uh2yzNNTFCvGK5KdSn/Uw==" saltValue="+cH/MGrY6o9ebF67MEqVh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CANARIAS</v>
      </c>
    </row>
    <row r="2" spans="1:78" ht="16.5" customHeight="1">
      <c r="C2" s="527" t="str">
        <f>Criterios!A10 &amp;"  "&amp;Criterios!B10 &amp; "  " &amp; IF(NOT(ISBLANK(Criterios!A11)),Criterios!A11 &amp;"  "&amp;Criterios!B11,"")</f>
        <v>Provincias  LAS PALMAS  Resumenes por Partidos Judiciales  TELDE</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6</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599</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216</v>
      </c>
      <c r="AA9" s="331" t="str">
        <f>IF(ISNUMBER(IF(J_V="SI",Datos!L9,Datos!L9+Datos!AB9)-IF(Monitorios="SI",Datos!CD9,0)),
                          IF(J_V="SI",Datos!L9,Datos!L9+Datos!AB9)-IF(Monitorios="SI",Datos!CD9,0),
                          " - ")</f>
        <v xml:space="preserve"> - </v>
      </c>
      <c r="AB9" s="333"/>
      <c r="AC9" s="333"/>
      <c r="AD9" s="483"/>
      <c r="AE9" s="483">
        <f>IF(ISNUMBER(Datos!R9),Datos!R9," - ")</f>
        <v>12372</v>
      </c>
      <c r="AF9" s="228" t="str">
        <f>IF(ISNUMBER(Datos!BV9),Datos!BV9," - ")</f>
        <v xml:space="preserve"> - </v>
      </c>
      <c r="AG9" s="224" t="str">
        <f>IF(ISNUMBER(Datos!DV9),Datos!DV9," - ")</f>
        <v xml:space="preserve"> - </v>
      </c>
      <c r="AH9" s="297"/>
      <c r="AI9" s="226"/>
      <c r="AJ9" s="224">
        <f>IF(ISNUMBER(Datos!M9),Datos!M9," - ")</f>
        <v>1115</v>
      </c>
      <c r="AK9" s="228">
        <f>IF(ISNUMBER(Datos!N9),Datos!N9," - ")</f>
        <v>1642</v>
      </c>
      <c r="AL9" s="228" t="str">
        <f>IF(ISNUMBER(Datos!BW9),Datos!BW9," - ")</f>
        <v xml:space="preserve"> - </v>
      </c>
      <c r="AM9" s="227" t="str">
        <f>IF(ISNUMBER(Datos!BX9),Datos!BX9," - ")</f>
        <v xml:space="preserve"> - </v>
      </c>
      <c r="AN9" s="242"/>
      <c r="AO9" s="259">
        <f>IF(ISNUMBER(((NºAsuntos!I9/NºAsuntos!G9)*11)/factor_trimestre),((NºAsuntos!I9/NºAsuntos!G9)*11)/factor_trimestre," - ")</f>
        <v>12.564940962761128</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3.1945950454583365E-2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31</v>
      </c>
      <c r="G10" s="224">
        <f>IF(ISNUMBER(Datos!I10),Datos!I10," - ")</f>
        <v>31</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31</v>
      </c>
      <c r="AB10" s="333"/>
      <c r="AC10" s="333"/>
      <c r="AD10" s="483"/>
      <c r="AE10" s="483">
        <f>IF(ISNUMBER(Datos!R10),Datos!R10," - ")</f>
        <v>95</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6</v>
      </c>
      <c r="F13" s="895">
        <f>SUBTOTAL(9,F8:F12)</f>
        <v>31</v>
      </c>
      <c r="G13" s="895">
        <f>SUBTOTAL(9,G8:G12)</f>
        <v>31</v>
      </c>
      <c r="H13" s="905"/>
      <c r="I13" s="895">
        <f t="shared" ref="I13:N13" si="0">SUBTOTAL(9,I8:I12)</f>
        <v>0</v>
      </c>
      <c r="J13" s="864">
        <f t="shared" si="0"/>
        <v>0</v>
      </c>
      <c r="K13" s="905">
        <f t="shared" si="0"/>
        <v>0</v>
      </c>
      <c r="L13" s="905">
        <f t="shared" si="0"/>
        <v>0</v>
      </c>
      <c r="M13" s="905">
        <f t="shared" si="0"/>
        <v>0</v>
      </c>
      <c r="N13" s="905">
        <f t="shared" si="0"/>
        <v>599</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216</v>
      </c>
      <c r="AA13" s="897">
        <f t="shared" si="2"/>
        <v>31</v>
      </c>
      <c r="AB13" s="897">
        <f t="shared" si="2"/>
        <v>0</v>
      </c>
      <c r="AC13" s="897">
        <f t="shared" si="2"/>
        <v>0</v>
      </c>
      <c r="AD13" s="897">
        <f t="shared" si="2"/>
        <v>0</v>
      </c>
      <c r="AE13" s="897">
        <f t="shared" si="2"/>
        <v>12467</v>
      </c>
      <c r="AF13" s="905">
        <f t="shared" si="2"/>
        <v>0</v>
      </c>
      <c r="AG13" s="905">
        <f t="shared" si="2"/>
        <v>0</v>
      </c>
      <c r="AH13" s="905">
        <f t="shared" si="2"/>
        <v>0</v>
      </c>
      <c r="AI13" s="905">
        <f t="shared" si="2"/>
        <v>0</v>
      </c>
      <c r="AJ13" s="905">
        <f t="shared" si="2"/>
        <v>1115</v>
      </c>
      <c r="AK13" s="905">
        <f t="shared" si="2"/>
        <v>1642</v>
      </c>
      <c r="AL13" s="905">
        <f t="shared" si="2"/>
        <v>0</v>
      </c>
      <c r="AM13" s="905">
        <f t="shared" si="2"/>
        <v>0</v>
      </c>
      <c r="AN13" s="905">
        <f t="shared" si="2"/>
        <v>0</v>
      </c>
      <c r="AO13" s="901">
        <f>IF(ISNUMBER(((NºAsuntos!I13/NºAsuntos!G13)*11)/factor_trimestre),((NºAsuntos!I13/NºAsuntos!G13)*11)/factor_trimestre," - ")</f>
        <v>12.593097184377839</v>
      </c>
      <c r="AP13" s="907" t="str">
        <f>IF(ISNUMBER(Datos!CI13/Datos!CJ13),Datos!CI13/Datos!CJ13," - ")</f>
        <v xml:space="preserve"> - </v>
      </c>
      <c r="AQ13" s="923">
        <f t="shared" ref="AQ13:AV13" si="3">SUBTOTAL(9,AQ9:AQ12)</f>
        <v>0</v>
      </c>
      <c r="AR13" s="923">
        <f t="shared" si="3"/>
        <v>3.1945950454583365E-2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3</v>
      </c>
      <c r="B15" s="506" t="s">
        <v>397</v>
      </c>
      <c r="C15" s="159" t="str">
        <f>Datos!A15</f>
        <v xml:space="preserve">Seccion Instruccion Del T.I.                   </v>
      </c>
      <c r="D15" s="501"/>
      <c r="E15" s="1163">
        <f>IF(ISNUMBER(Datos!AQ15),Datos!AQ15," - ")</f>
        <v>3</v>
      </c>
      <c r="F15" s="332">
        <f>IF(ISNUMBER(AA15+Y15-Datos!J15-K15),AA15+Y15-Datos!J15-K15," - ")</f>
        <v>3177</v>
      </c>
      <c r="G15" s="224">
        <f>IF(ISNUMBER(IF(D_I="SI",Datos!I15,Datos!I15+Datos!AC15)),IF(D_I="SI",Datos!I15,Datos!I15+Datos!AC15)," - ")</f>
        <v>3107</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83</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2538</v>
      </c>
      <c r="Z15" s="617">
        <f>IF(ISNUMBER(Datos!Q15),Datos!Q15," - ")</f>
        <v>210</v>
      </c>
      <c r="AA15" s="331">
        <f>IF(ISNUMBER(IF(D_I="SI",Datos!L15,Datos!L15+Datos!AF15)),IF(D_I="SI",Datos!L15,Datos!L15+Datos!AF15)," - ")</f>
        <v>2713</v>
      </c>
      <c r="AB15" s="333"/>
      <c r="AC15" s="333"/>
      <c r="AD15" s="483"/>
      <c r="AE15" s="483">
        <f>IF(ISNUMBER(Datos!R15),Datos!R15," - ")</f>
        <v>342</v>
      </c>
      <c r="AF15" s="228" t="str">
        <f>IF(ISNUMBER(Datos!BV15),Datos!BV15," - ")</f>
        <v xml:space="preserve"> - </v>
      </c>
      <c r="AG15" s="224"/>
      <c r="AH15" s="297"/>
      <c r="AI15" s="226"/>
      <c r="AJ15" s="224">
        <f>IF(ISNUMBER(Datos!M15),Datos!M15," - ")</f>
        <v>341</v>
      </c>
      <c r="AK15" s="228">
        <f>IF(ISNUMBER(Datos!N15),Datos!N15," - ")</f>
        <v>1458</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3.206855791962175</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f>IF(ISNUMBER(AA17+Y17-Datos!J17-K15),AA17+Y17-Datos!J17-K15," - ")</f>
        <v>1</v>
      </c>
      <c r="G17" s="224">
        <f>IF(ISNUMBER(IF(D_I="SI",Datos!I17,Datos!I17+Datos!AC17)),IF(D_I="SI",Datos!I17,Datos!I17+Datos!AC17)," - ")</f>
        <v>1</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0</v>
      </c>
      <c r="Z17" s="617">
        <f>IF(ISNUMBER(Datos!Q17),Datos!Q17," - ")</f>
        <v>0</v>
      </c>
      <c r="AA17" s="331">
        <f>IF(ISNUMBER(IF(D_I="SI",Datos!L17,Datos!L17+Datos!AF17)),IF(D_I="SI",Datos!L17,Datos!L17+Datos!AF17)," - ")</f>
        <v>1</v>
      </c>
      <c r="AB17" s="333"/>
      <c r="AC17" s="333"/>
      <c r="AD17" s="483"/>
      <c r="AE17" s="483">
        <f>IF(ISNUMBER(Datos!R17),Datos!R17," - ")</f>
        <v>0</v>
      </c>
      <c r="AF17" s="228" t="str">
        <f>IF(ISNUMBER(Datos!BV17),Datos!BV17," - ")</f>
        <v xml:space="preserve"> - </v>
      </c>
      <c r="AG17" s="224"/>
      <c r="AH17" s="297"/>
      <c r="AI17" s="226"/>
      <c r="AJ17" s="224">
        <f>IF(ISNUMBER(Datos!M17),Datos!M17," - ")</f>
        <v>0</v>
      </c>
      <c r="AK17" s="228">
        <f>IF(ISNUMBER(Datos!N17),Datos!N17," - ")</f>
        <v>0</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56</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v>
      </c>
      <c r="Z18" s="617">
        <f>IF(ISNUMBER(Datos!Q18),Datos!Q18," - ")</f>
        <v>0</v>
      </c>
      <c r="AA18" s="331">
        <f>IF(ISNUMBER(Datos!L18),Datos!L18,"-")</f>
        <v>55</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0</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165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3</v>
      </c>
      <c r="F19" s="895">
        <f>SUBTOTAL(9,F15:F18)</f>
        <v>3178</v>
      </c>
      <c r="G19" s="895">
        <f>SUBTOTAL(9,G15:G18)</f>
        <v>3164</v>
      </c>
      <c r="H19" s="927">
        <f>SUBTOTAL(9,H15:H18)</f>
        <v>0</v>
      </c>
      <c r="I19" s="908">
        <f>SUBTOTAL(9,I15:I18)</f>
        <v>0</v>
      </c>
      <c r="J19" s="864">
        <f>SUBTOTAL(9,J14:J18)</f>
        <v>0</v>
      </c>
      <c r="K19" s="927">
        <f t="shared" ref="K19:S19" si="4">SUBTOTAL(9,K15:K18)</f>
        <v>0</v>
      </c>
      <c r="L19" s="927">
        <f t="shared" si="4"/>
        <v>0</v>
      </c>
      <c r="M19" s="927">
        <f t="shared" si="4"/>
        <v>0</v>
      </c>
      <c r="N19" s="927">
        <f t="shared" si="4"/>
        <v>83</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2539</v>
      </c>
      <c r="Z19" s="927">
        <f t="shared" si="5"/>
        <v>210</v>
      </c>
      <c r="AA19" s="927">
        <f t="shared" si="5"/>
        <v>2769</v>
      </c>
      <c r="AB19" s="927">
        <f t="shared" si="5"/>
        <v>0</v>
      </c>
      <c r="AC19" s="927">
        <f t="shared" si="5"/>
        <v>0</v>
      </c>
      <c r="AD19" s="927">
        <f t="shared" si="5"/>
        <v>0</v>
      </c>
      <c r="AE19" s="927">
        <f t="shared" si="5"/>
        <v>342</v>
      </c>
      <c r="AF19" s="927">
        <f t="shared" si="5"/>
        <v>0</v>
      </c>
      <c r="AG19" s="927">
        <f t="shared" si="5"/>
        <v>0</v>
      </c>
      <c r="AH19" s="927">
        <f t="shared" si="5"/>
        <v>0</v>
      </c>
      <c r="AI19" s="927">
        <f t="shared" si="5"/>
        <v>0</v>
      </c>
      <c r="AJ19" s="927">
        <f t="shared" si="5"/>
        <v>341</v>
      </c>
      <c r="AK19" s="927">
        <f t="shared" si="5"/>
        <v>1458</v>
      </c>
      <c r="AL19" s="927">
        <f t="shared" si="5"/>
        <v>0</v>
      </c>
      <c r="AM19" s="927">
        <f t="shared" si="5"/>
        <v>0</v>
      </c>
      <c r="AN19" s="927">
        <f t="shared" si="5"/>
        <v>0</v>
      </c>
      <c r="AO19" s="929">
        <f>IF(ISNUMBER(((NºAsuntos!I19/NºAsuntos!G19)*11)/factor_trimestre),((NºAsuntos!I19/NºAsuntos!G19)*11)/factor_trimestre," - ")</f>
        <v>3.2717605356439545</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9</v>
      </c>
      <c r="F20" s="817">
        <f t="shared" si="7"/>
        <v>3209</v>
      </c>
      <c r="G20" s="817">
        <f t="shared" si="7"/>
        <v>3195</v>
      </c>
      <c r="H20" s="818">
        <f t="shared" si="7"/>
        <v>0</v>
      </c>
      <c r="I20" s="817">
        <f t="shared" si="7"/>
        <v>0</v>
      </c>
      <c r="J20" s="819">
        <f t="shared" si="7"/>
        <v>0</v>
      </c>
      <c r="K20" s="817">
        <f t="shared" si="7"/>
        <v>0</v>
      </c>
      <c r="L20" s="820">
        <f t="shared" si="7"/>
        <v>0</v>
      </c>
      <c r="M20" s="817">
        <f t="shared" si="7"/>
        <v>0</v>
      </c>
      <c r="N20" s="818">
        <f t="shared" si="7"/>
        <v>682</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2539</v>
      </c>
      <c r="Z20" s="824">
        <f t="shared" si="8"/>
        <v>426</v>
      </c>
      <c r="AA20" s="825">
        <f t="shared" si="8"/>
        <v>2800</v>
      </c>
      <c r="AB20" s="825">
        <f t="shared" si="8"/>
        <v>0</v>
      </c>
      <c r="AC20" s="825">
        <f t="shared" si="8"/>
        <v>0</v>
      </c>
      <c r="AD20" s="826">
        <f t="shared" si="8"/>
        <v>0</v>
      </c>
      <c r="AE20" s="826">
        <f t="shared" si="8"/>
        <v>12809</v>
      </c>
      <c r="AF20" s="827">
        <f t="shared" si="8"/>
        <v>0</v>
      </c>
      <c r="AG20" s="828">
        <f t="shared" si="8"/>
        <v>0</v>
      </c>
      <c r="AH20" s="829">
        <f t="shared" si="8"/>
        <v>0</v>
      </c>
      <c r="AI20" s="827">
        <f t="shared" si="8"/>
        <v>0</v>
      </c>
      <c r="AJ20" s="817">
        <f t="shared" si="8"/>
        <v>1456</v>
      </c>
      <c r="AK20" s="817">
        <f t="shared" si="8"/>
        <v>3100</v>
      </c>
      <c r="AL20" s="817">
        <f t="shared" si="8"/>
        <v>0</v>
      </c>
      <c r="AM20" s="830">
        <f t="shared" si="8"/>
        <v>0</v>
      </c>
      <c r="AN20" s="820">
        <f>IF(ISNUMBER(Datos!K20/Datos!J20),Datos!K20/Datos!J20," - ")</f>
        <v>0.94979716024340766</v>
      </c>
      <c r="AO20" s="820">
        <f>IF(ISNUMBER(FIND("06",Criterios!A8,1)),(IF(ISNUMBER(((Datos!R20/Datos!Q20)*11)/factor_trimestre),((Datos!R20/Datos!Q20)*11)/factor_trimestre," - ")),(IF(ISNUMBER(((Datos!L20/Datos!K20)*11)/factor_trimestre),((Datos!L20/Datos!K20)*11)/factor_trimestre," - ")))</f>
        <v>8.6438868126001065</v>
      </c>
      <c r="AP20" s="831" t="str">
        <f>IF(ISNUMBER(Datos!CI20/Datos!CJ20),Datos!CI20/Datos!CJ20," - ")</f>
        <v xml:space="preserve"> - </v>
      </c>
      <c r="AQ20" s="831">
        <f>IF(OR(ISNUMBER(FIND("01",Criterios!A8,1)),ISNUMBER(FIND("02",Criterios!A8,1)),ISNUMBER(FIND("03",Criterios!A8,1)),ISNUMBER(FIND("04",Criterios!A8,1))),(J20-Y20+K20)/(F20-K20),(I20-Y20+K20)/(F20-K20))</f>
        <v>-0.79121221564350264</v>
      </c>
      <c r="AR20" s="831">
        <f>IF(ISNUMBER((Datos!P20-Datos!Q20+O20)/(Datos!R20-Datos!P20+Datos!Q20-O20)),(Datos!P20-Datos!Q20+O20)/(Datos!R20-Datos!P20+Datos!Q20-O20)," - ")</f>
        <v>2.0393531426750579E-2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1065</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1728.9296688992297</v>
      </c>
      <c r="G22" s="551">
        <f>IF(ISNUMBER(STDEV(G8:G19)),STDEV(G8:G19),"-")</f>
        <v>1603.99837905155</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501.26839118380485</v>
      </c>
      <c r="AK22" s="251"/>
      <c r="AL22" s="251">
        <f>IF(ISNUMBER(STDEV(AL8:AL19)),STDEV(AL8:AL19),"-")</f>
        <v>0</v>
      </c>
      <c r="AM22" s="253">
        <f>IF(ISNUMBER(STDEV(AM8:AM19)),STDEV(AM8:AM19),"-")</f>
        <v>0</v>
      </c>
      <c r="AN22" s="538">
        <f>IF(ISNUMBER(STDEV(AN8:AN19)),STDEV(AN8:AN19),"-")</f>
        <v>0</v>
      </c>
      <c r="AO22" s="539">
        <f>IF(ISNUMBER(STDEV(AO8:AO19)),STDEV(AO8:AO19),"-")</f>
        <v>70.408198035743396</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I5UxPvapjwkFSdgzQbpZTC/zvB+hHbWKHBD1XW80DU0Bcuv3yB1p3WBMEs1PaYXuGPNiA5weHEcP+YeXa/eWTw==" saltValue="mq3GVvwTcu29v55anKnIq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ioi8M+NRrWjfS1kFpkyye+jryF48lWhMihAeM8wqGKw/93LQfFoxU7rU8kwtaTO9x8DPsLcz7eWSzLKVU4csgg==" saltValue="P26spWDcAFvc3kov7BFd8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CANARIAS</v>
      </c>
    </row>
    <row r="4" spans="1:156" ht="13.5" thickBot="1">
      <c r="A4" t="str">
        <f>Criterios!A10</f>
        <v>Provincias</v>
      </c>
      <c r="B4" t="str">
        <f>Criterios!B10</f>
        <v>LAS PALMAS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ZDEqAwjalJLagH+RuF8n4b4ZwgGT3RJ2qdWbGT1Rp03dZKNz9wRqBHti+uxyqNPVjWa0lzCffo7bV8rsWJ1ohw==" saltValue="7RanuVos5/rBnPL1P0hu5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CANARIAS</v>
      </c>
    </row>
    <row r="2" spans="1:78" ht="16.5" customHeight="1">
      <c r="C2" s="487" t="str">
        <f>Criterios!A10 &amp;"  "&amp;Criterios!B10 &amp; "  " &amp; IF(NOT(ISBLANK(Criterios!A11)),Criterios!A11 &amp;"  "&amp;Criterios!B11,"")</f>
        <v>Provincias  LAS PALMAS  Resumenes por Partidos Judiciales  TELDE</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0.33757190432939754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0.23869938268937346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M61kdG7rYhooIKh+8cO5WDagTtJ8gUZVGtit6owyFZCfrYPlYPpeJ9Xbs7ayeU9fRpyPz9JnDRXd1ocxG4kn4Q==" saltValue="1Nj+GDDWw/4jA6w7P7NSy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ZBBZHCf6d/RGuXcMPB3tTI8cYJryYPyKcf7RRaa2lii5DSSEAnvv9aTqp/xZc3PotQ+zt/X7yMkmG+l5JkNtlg==" saltValue="2zQHFrVwsWEA6J+q/QrY0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CANARIAS</v>
      </c>
      <c r="W1"/>
      <c r="X1"/>
    </row>
    <row r="2" spans="1:78" ht="16.5" customHeight="1">
      <c r="C2" s="487" t="str">
        <f>Criterios!A10 &amp;"  "&amp;Criterios!B10 &amp; "  " &amp; IF(NOT(ISBLANK(Criterios!A11)),Criterios!A11 &amp;"  "&amp;Criterios!B11,"")</f>
        <v>Provincias  LAS PALMAS  Resumenes por Partidos Judiciales  TELDE</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6</v>
      </c>
      <c r="B9" s="500" t="s">
        <v>247</v>
      </c>
      <c r="C9" s="159" t="str">
        <f>Datos!A9</f>
        <v>Sección Civil del T.I</v>
      </c>
      <c r="D9" s="501"/>
      <c r="E9" s="679">
        <f>IF(ISNUMBER(Datos!AQ9),Datos!AQ9," - ")</f>
        <v>6</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31</v>
      </c>
      <c r="G10" s="681">
        <f>IF(ISNUMBER(Datos!I10),Datos!I10," - ")</f>
        <v>31</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31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6</v>
      </c>
      <c r="F13" s="933">
        <f t="shared" si="0"/>
        <v>31</v>
      </c>
      <c r="G13" s="933">
        <f t="shared" si="0"/>
        <v>31</v>
      </c>
      <c r="H13" s="933">
        <f t="shared" si="0"/>
        <v>0</v>
      </c>
      <c r="I13" s="935">
        <f t="shared" si="0"/>
        <v>0</v>
      </c>
      <c r="J13" s="934">
        <f t="shared" si="0"/>
        <v>0</v>
      </c>
      <c r="K13" s="934">
        <f t="shared" si="0"/>
        <v>0</v>
      </c>
      <c r="L13" s="936">
        <f t="shared" si="0"/>
        <v>0</v>
      </c>
      <c r="M13" s="936">
        <f t="shared" si="0"/>
        <v>0</v>
      </c>
      <c r="N13" s="934">
        <f t="shared" si="0"/>
        <v>0</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0</v>
      </c>
      <c r="AE13" s="934">
        <f t="shared" si="1"/>
        <v>0</v>
      </c>
      <c r="AF13" s="934">
        <f t="shared" si="1"/>
        <v>31</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f t="shared" si="1"/>
        <v>0</v>
      </c>
      <c r="AP13" s="939">
        <f>IF(ISNUMBER(((Datos!L13/Datos!K13)*11)/factor_trimestre),((Datos!L13/Datos!K13)*11)/factor_trimestre," - ")</f>
        <v>13.072402597402595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3</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3.2717605356439545</v>
      </c>
      <c r="AQ19" s="939">
        <f>IF(ISNUMBER(((Datos!M19/Datos!L19)*11)/factor_trimestre),((Datos!M19/Datos!L19)*11)/factor_trimestre," - ")</f>
        <v>0.36944745395449624</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-0.27078891257995735</v>
      </c>
      <c r="AW19" s="941">
        <f>IF(ISNUMBER((Datos!Q19-Datos!R19)/(Datos!S19-Datos!Q19+Datos!R19)),(Datos!Q19-Datos!R19)/(Datos!S19-Datos!Q19+Datos!R19)," - ")</f>
        <v>-3.7183098591549293E-2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6</v>
      </c>
      <c r="F20" s="946">
        <f t="shared" si="4"/>
        <v>31</v>
      </c>
      <c r="G20" s="946">
        <f t="shared" si="4"/>
        <v>31</v>
      </c>
      <c r="H20" s="946">
        <f t="shared" si="4"/>
        <v>0</v>
      </c>
      <c r="I20" s="947">
        <f t="shared" si="4"/>
        <v>0</v>
      </c>
      <c r="J20" s="948">
        <f t="shared" si="4"/>
        <v>0</v>
      </c>
      <c r="K20" s="948">
        <f t="shared" si="4"/>
        <v>0</v>
      </c>
      <c r="L20" s="948">
        <f t="shared" si="4"/>
        <v>0</v>
      </c>
      <c r="M20" s="948">
        <f t="shared" si="4"/>
        <v>0</v>
      </c>
      <c r="N20" s="947">
        <f t="shared" si="4"/>
        <v>0</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0</v>
      </c>
      <c r="AE20" s="952">
        <f t="shared" si="5"/>
        <v>0</v>
      </c>
      <c r="AF20" s="953">
        <f t="shared" si="5"/>
        <v>31</v>
      </c>
      <c r="AG20" s="953">
        <f t="shared" si="5"/>
        <v>0</v>
      </c>
      <c r="AH20" s="953">
        <f t="shared" si="5"/>
        <v>0</v>
      </c>
      <c r="AI20" s="953">
        <f t="shared" si="5"/>
        <v>0</v>
      </c>
      <c r="AJ20" s="954">
        <f t="shared" si="5"/>
        <v>0</v>
      </c>
      <c r="AK20" s="954">
        <f t="shared" si="5"/>
        <v>0</v>
      </c>
      <c r="AL20" s="946">
        <f t="shared" si="5"/>
        <v>0</v>
      </c>
      <c r="AM20" s="946">
        <f t="shared" si="5"/>
        <v>0</v>
      </c>
      <c r="AN20" s="946">
        <f t="shared" si="5"/>
        <v>0</v>
      </c>
      <c r="AO20" s="946">
        <f t="shared" si="5"/>
        <v>0</v>
      </c>
      <c r="AP20" s="946">
        <f>IF(ISNUMBER(((Datos!L20/Datos!K20)*11)/factor_trimestre),((Datos!L20/Datos!K20)*11)/factor_trimestre," - ")</f>
        <v>8.6438868126001065</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2.0393531426750579E-2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20.666666666666668</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3.0983866769659336</v>
      </c>
      <c r="F22" s="733">
        <f>IF(ISNUMBER(STDEV(F8:F19)),STDEV(F8:F19),"-")</f>
        <v>17.897858344878401</v>
      </c>
      <c r="G22" s="734">
        <f>IF(ISNUMBER(STDEV(G8:G19)),STDEV(G8:G19),"-")</f>
        <v>17.897858344878401</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0</v>
      </c>
      <c r="AM22" s="733"/>
      <c r="AN22" s="733">
        <f>IF(ISNUMBER(STDEV(AN8:AN19)),STDEV(AN8:AN19),"-")</f>
        <v>0</v>
      </c>
      <c r="AO22" s="739">
        <f>IF(ISNUMBER(STDEV(AO8:AO19)),STDEV(AO8:AO19),"-")</f>
        <v>0</v>
      </c>
      <c r="AP22" s="776">
        <f>IF(ISNUMBER(STDEV(AP8:AP19)),STDEV(AP8:AP19),"-")</f>
        <v>6.93010046185164</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NmVfLgm2zDTCODPcK5wkrrDdrw6j6kawzAQ98KhB3sbj4eyY5oA3/mKHdjDjTLrrCL4ZXjDGFjWUdwqH5pcUfg==" saltValue="qn5iqYae0zaRG+tpxIgdL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CANARIAS</v>
      </c>
    </row>
    <row r="2" spans="1:168" ht="16.5" customHeight="1">
      <c r="C2" s="487" t="str">
        <f>Criterios!A10 &amp;"  "&amp;Criterios!B10 &amp; "  " &amp; IF(NOT(ISBLANK(Criterios!A11)),Criterios!A11 &amp;"  "&amp;Criterios!B11,"")</f>
        <v>Provincias  LAS PALMAS  Resumenes por Partidos Judiciales  TELDE</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6</v>
      </c>
      <c r="B9" s="500" t="s">
        <v>247</v>
      </c>
      <c r="C9" s="159" t="str">
        <f>Datos!A9</f>
        <v>Sección Civil del T.I</v>
      </c>
      <c r="D9" s="501"/>
      <c r="E9" s="259">
        <f>IF(ISNUMBER(Datos!AQ9),Datos!AQ9," - ")</f>
        <v>6</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249</v>
      </c>
      <c r="O9" s="333"/>
      <c r="P9" s="333"/>
      <c r="Q9" s="225">
        <f>IF(ISNUMBER(Datos!P9),Datos!P9,0)</f>
        <v>599</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216</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444</v>
      </c>
      <c r="AI9" s="224" t="str">
        <f>IF(ISNUMBER(Datos!CD9),Datos!CD9,"-")</f>
        <v>-</v>
      </c>
      <c r="AJ9" s="224" t="str">
        <f>IF(ISNUMBER(Datos!EN9),Datos!EN9," - ")</f>
        <v xml:space="preserve"> - </v>
      </c>
      <c r="AK9" s="333"/>
      <c r="AL9" s="478"/>
      <c r="AM9" s="224">
        <f>IF(ISNUMBER(Datos!R9),Datos!R9," - ")</f>
        <v>12372</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1115</v>
      </c>
      <c r="BD9" s="228">
        <f>IF(ISNUMBER(Datos!N9),Datos!N9," - ")</f>
        <v>1642</v>
      </c>
      <c r="BE9" s="224" t="str">
        <f>IF(ISNUMBER(Datos!BW9),Datos!BW9," - ")</f>
        <v xml:space="preserve"> - </v>
      </c>
      <c r="BF9" s="224" t="str">
        <f>IF(ISNUMBER(Datos!BX9),Datos!BX9," - ")</f>
        <v xml:space="preserve"> - </v>
      </c>
      <c r="BG9" s="242">
        <f>IF(ISNUMBER(IF(J_V="SI",Datos!K9/Datos!J9,(Datos!K9+Datos!AA9)/(Datos!J9+Datos!Z9))),IF(J_V="SI",Datos!K9/Datos!J9,(Datos!K9+Datos!AA9)/(Datos!J9+Datos!Z9))," - ")</f>
        <v>0.80738205817648501</v>
      </c>
      <c r="BH9" s="224">
        <f>IF(ISNUMBER(((IF(J_V="SI",Datos!L9/Datos!K9,(Datos!L9+Datos!AB9)/(Datos!K9+Datos!AA9)))*11)/factor_trimestre),((IF(J_V="SI",Datos!L9/Datos!K9,(Datos!L9+Datos!AB9)/(Datos!K9+Datos!AA9)))*11)/factor_trimestre," - ")</f>
        <v>12.564940962761128</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3.1945950454583365E-2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811.61334174245019</v>
      </c>
      <c r="CF9" s="228">
        <f ca="1">AVERAGEIFS($AB:$AB,$BW:$BW,BW9,$BX:$BX,BX9)</f>
        <v>811.61334174245019</v>
      </c>
      <c r="CG9" s="1191">
        <v>0.7</v>
      </c>
      <c r="CH9" s="1191">
        <f ca="1">AVERAGEIF($BW:$BW,$BW9,$AC:$AC)</f>
        <v>116.18181818181819</v>
      </c>
      <c r="CI9" s="228">
        <f ca="1">AVERAGEIFS($AC:$AC,$BW:$BW,$BW9,$BX:$BX,$BX9)</f>
        <v>116.18181818181819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840</v>
      </c>
      <c r="CR9" s="228">
        <f ca="1">AVERAGEIFS($AF:$AF,$BW:$BW,BW9,$BX:$BX,BX9)</f>
        <v>840</v>
      </c>
      <c r="CS9" s="1191">
        <v>1.3</v>
      </c>
      <c r="CT9" s="1191">
        <v>1.5</v>
      </c>
      <c r="CU9" s="1191">
        <f ca="1">AVERAGEIF($BW:$BW,$BW9,$AH:$AH)</f>
        <v>190.28571428571428</v>
      </c>
      <c r="CV9" s="228">
        <f ca="1">AVERAGEIFS($AH:$AH,$BW:$BW,$BW9,$BX:$BX,$BX9)</f>
        <v>190.28571428571428</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3493.3636363636365</v>
      </c>
      <c r="DH9" s="228">
        <f ca="1">AVERAGEIFS($AM:$AM,$BW:$BW,$BW9,$BX:$BX,$BX9)</f>
        <v>3493.3636363636365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27.612285804803026</v>
      </c>
      <c r="ER9" s="228">
        <f ca="1">AVERAGEIFS($BH:$BH,$BW:$BW,$BW9,$BX:$BX,$BX9)</f>
        <v>27.612285804803026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31</v>
      </c>
      <c r="G10" s="332">
        <f>IF(ISNUMBER(Datos!I10),Datos!I10," - ")</f>
        <v>31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31</v>
      </c>
      <c r="AG10" s="333"/>
      <c r="AH10" s="224"/>
      <c r="AI10" s="224"/>
      <c r="AJ10" s="224"/>
      <c r="AK10" s="333"/>
      <c r="AL10" s="478"/>
      <c r="AM10" s="224">
        <f>IF(ISNUMBER(Datos!R10),Datos!R10," - ")</f>
        <v>95</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811.61334174245019</v>
      </c>
      <c r="CF10" s="228">
        <f ca="1">AVERAGEIFS($AB:$AB,$BW:$BW,BW10,$BX:$BX,BX10)</f>
        <v>811.61334174245019</v>
      </c>
      <c r="CG10" s="1191">
        <v>0.7</v>
      </c>
      <c r="CH10" s="1191">
        <f ca="1">AVERAGEIF($BW:$BW,BW10,$AC:$AC)</f>
        <v>116.18181818181819</v>
      </c>
      <c r="CI10" s="228">
        <f ca="1">AVERAGEIFS($AC:$AC,$BW:$BW,BW10,$BX:$BX,BX10)</f>
        <v>116.18181818181819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840</v>
      </c>
      <c r="CR10" s="228">
        <f ca="1">AVERAGEIFS($AF:$AF,$BW:$BW,BW10,$BX:$BX,BX10)</f>
        <v>840</v>
      </c>
      <c r="CS10" s="1191">
        <v>1.3</v>
      </c>
      <c r="CT10" s="1191">
        <v>1.5</v>
      </c>
      <c r="CU10" s="1191">
        <f ca="1">AVERAGEIF($BW:$BW,$BW10,$AH:$AH)</f>
        <v>190.28571428571428</v>
      </c>
      <c r="CV10" s="228">
        <f ca="1">AVERAGEIFS($AH:$AH,$BW:$BW,$BW10,$BX:$BX,$BX10)</f>
        <v>190.28571428571428</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3493.3636363636365</v>
      </c>
      <c r="DH10" s="228">
        <f ca="1">AVERAGEIFS($AM:$AM,$BW:$BW,$BW10,$BX:$BX,$BX10)</f>
        <v>3493.3636363636365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27.612285804803026</v>
      </c>
      <c r="ER10" s="228">
        <f ca="1">AVERAGEIFS($BH:$BH,$BW:$BW,$BW10,$BX:$BX,$BX10)</f>
        <v>27.612285804803026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811.61334174245019</v>
      </c>
      <c r="CF11" s="228">
        <f ca="1">AVERAGEIFS($AB:$AB,$BW:$BW,BW11,$BX:$BX,BX11)</f>
        <v>811.61334174245019</v>
      </c>
      <c r="CG11" s="1191">
        <v>0.7</v>
      </c>
      <c r="CH11" s="1191">
        <f ca="1">AVERAGEIF($BW:$BW,BW11,$AC:$AC)</f>
        <v>116.18181818181819</v>
      </c>
      <c r="CI11" s="228">
        <f ca="1">AVERAGEIFS($AC:$AC,$BW:$BW,BW11,$BX:$BX,BX11)</f>
        <v>116.18181818181819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840</v>
      </c>
      <c r="CR11" s="228">
        <f ca="1">AVERAGEIFS($AF:$AF,$BW:$BW,BW11,$BX:$BX,BX11)</f>
        <v>840</v>
      </c>
      <c r="CS11" s="1191">
        <v>1.3</v>
      </c>
      <c r="CT11" s="1191">
        <v>1.5</v>
      </c>
      <c r="CU11" s="1191">
        <f ca="1">AVERAGEIF($BW:$BW,$BW11,$AH:$AH)</f>
        <v>190.28571428571428</v>
      </c>
      <c r="CV11" s="228">
        <f ca="1">AVERAGEIFS($AH:$AH,$BW:$BW,$BW11,$BX:$BX,$BX11)</f>
        <v>190.28571428571428</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3493.3636363636365</v>
      </c>
      <c r="DH11" s="228">
        <f ca="1">AVERAGEIFS($AM:$AM,$BW:$BW,$BW11,$BX:$BX,$BX11)</f>
        <v>3493.3636363636365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27.612285804803026</v>
      </c>
      <c r="ER11" s="228">
        <f ca="1">AVERAGEIFS($BH:$BH,$BW:$BW,$BW11,$BX:$BX,$BX11)</f>
        <v>27.612285804803026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811.61334174245019</v>
      </c>
      <c r="CF12" s="228">
        <f ca="1">AVERAGEIFS($AB:$AB,$BW:$BW,BW12,$BX:$BX,BX12)</f>
        <v>811.61334174245019</v>
      </c>
      <c r="CG12" s="1191">
        <v>0.7</v>
      </c>
      <c r="CH12" s="1191">
        <f ca="1">AVERAGEIF($BW:$BW,BW12,$AC:$AC)</f>
        <v>116.18181818181819</v>
      </c>
      <c r="CI12" s="228">
        <f ca="1">AVERAGEIFS($AC:$AC,$BW:$BW,BW12,$BX:$BX,BX12)</f>
        <v>116.18181818181819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840</v>
      </c>
      <c r="CR12" s="228">
        <f ca="1">AVERAGEIFS($AF:$AF,$BW:$BW,BW12,$BX:$BX,BX12)</f>
        <v>840</v>
      </c>
      <c r="CS12" s="1191">
        <v>1.3</v>
      </c>
      <c r="CT12" s="1191">
        <v>1.5</v>
      </c>
      <c r="CU12" s="1191">
        <f ca="1">AVERAGEIF($BW:$BW,$BW12,$AH:$AH)</f>
        <v>190.28571428571428</v>
      </c>
      <c r="CV12" s="228">
        <f ca="1">AVERAGEIFS($AH:$AH,$BW:$BW,$BW12,$BX:$BX,$BX12)</f>
        <v>190.28571428571428</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3493.3636363636365</v>
      </c>
      <c r="DH12" s="228">
        <f ca="1">AVERAGEIFS($AM:$AM,$BW:$BW,$BW12,$BX:$BX,$BX12)</f>
        <v>3493.3636363636365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27.612285804803026</v>
      </c>
      <c r="ER12" s="228">
        <f ca="1">AVERAGEIFS($BH:$BH,$BW:$BW,$BW12,$BX:$BX,$BX12)</f>
        <v>27.612285804803026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6</v>
      </c>
      <c r="F13" s="895">
        <f t="shared" si="1"/>
        <v>31</v>
      </c>
      <c r="G13" s="895">
        <f t="shared" si="1"/>
        <v>31</v>
      </c>
      <c r="H13" s="896">
        <f t="shared" si="1"/>
        <v>0</v>
      </c>
      <c r="I13" s="895">
        <f t="shared" si="1"/>
        <v>0</v>
      </c>
      <c r="J13" s="864">
        <f t="shared" si="1"/>
        <v>0</v>
      </c>
      <c r="K13" s="864">
        <f t="shared" si="1"/>
        <v>0</v>
      </c>
      <c r="L13" s="896">
        <f t="shared" si="1"/>
        <v>0</v>
      </c>
      <c r="M13" s="896">
        <f t="shared" si="1"/>
        <v>0</v>
      </c>
      <c r="N13" s="896">
        <f t="shared" si="1"/>
        <v>249</v>
      </c>
      <c r="O13" s="897">
        <f t="shared" si="1"/>
        <v>0</v>
      </c>
      <c r="P13" s="897">
        <f t="shared" si="1"/>
        <v>0</v>
      </c>
      <c r="Q13" s="896">
        <f t="shared" si="1"/>
        <v>599</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216</v>
      </c>
      <c r="AD13" s="896">
        <f t="shared" si="2"/>
        <v>0</v>
      </c>
      <c r="AE13" s="896">
        <f t="shared" si="2"/>
        <v>0</v>
      </c>
      <c r="AF13" s="896">
        <f t="shared" si="2"/>
        <v>31</v>
      </c>
      <c r="AG13" s="896">
        <f t="shared" si="2"/>
        <v>0</v>
      </c>
      <c r="AH13" s="896">
        <f t="shared" si="2"/>
        <v>444</v>
      </c>
      <c r="AI13" s="896">
        <f t="shared" si="2"/>
        <v>0</v>
      </c>
      <c r="AJ13" s="896">
        <f t="shared" si="2"/>
        <v>0</v>
      </c>
      <c r="AK13" s="896">
        <f t="shared" si="2"/>
        <v>0</v>
      </c>
      <c r="AL13" s="896">
        <f t="shared" si="2"/>
        <v>0</v>
      </c>
      <c r="AM13" s="896">
        <f t="shared" si="2"/>
        <v>12467</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1115</v>
      </c>
      <c r="BD13" s="896">
        <f t="shared" si="2"/>
        <v>1642</v>
      </c>
      <c r="BE13" s="896">
        <f t="shared" si="2"/>
        <v>0</v>
      </c>
      <c r="BF13" s="896">
        <f t="shared" si="2"/>
        <v>0</v>
      </c>
      <c r="BG13" s="896">
        <f>IF(ISNUMBER(Datos!K13/Datos!J13),Datos!K13/Datos!J13," - ")</f>
        <v>0.80166579906298807</v>
      </c>
      <c r="BH13" s="900">
        <f>IF(ISNUMBER(((Datos!L13/Datos!K13)*11)/factor_trimestre),((Datos!L13/Datos!K13)*11)/factor_trimestre," - ")</f>
        <v>13.072402597402595</v>
      </c>
      <c r="BI13" s="896">
        <f>IF(ISNUMBER('Resol  Asuntos'!D13/NºAsuntos!G13),'Resol  Asuntos'!D13/NºAsuntos!G13," - ")</f>
        <v>0.33757190432939754</v>
      </c>
      <c r="BJ13" s="896" t="str">
        <f>IF(ISNUMBER(Datos!CI13/Datos!CJ13),Datos!CI13/Datos!CJ13," - ")</f>
        <v xml:space="preserve"> - </v>
      </c>
      <c r="BK13" s="896">
        <f>SUBTOTAL(9,BK8:BK12)</f>
        <v>0</v>
      </c>
      <c r="BL13" s="896">
        <f>IF(ISNUMBER((I13-AB13+L13)/(F13)),(I13-AB13+L13)/(F13)," - ")</f>
        <v>0</v>
      </c>
      <c r="BM13" s="901">
        <f>SUBTOTAL(9,BM9:BM12)</f>
        <v>3.1945950454583365E-2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3</v>
      </c>
      <c r="B15" s="593" t="s">
        <v>397</v>
      </c>
      <c r="C15" s="598" t="str">
        <f>Datos!A15</f>
        <v xml:space="preserve">Seccion Instruccion Del T.I.                   </v>
      </c>
      <c r="D15" s="599"/>
      <c r="E15" s="1160">
        <f>IF(ISNUMBER(Datos!AQ15),Datos!AQ15," - ")</f>
        <v>3</v>
      </c>
      <c r="F15" s="594">
        <f>IF(ISNUMBER(AF15+AB15-Datos!J15-L15),AF15+AB15-Datos!J15-L15," - ")</f>
        <v>3177</v>
      </c>
      <c r="G15" s="596">
        <f>IF(ISNUMBER(IF(D_I="SI",Datos!I15,Datos!I15+Datos!AC15)),IF(D_I="SI",Datos!I15,Datos!I15+Datos!AC15)," - ")</f>
        <v>3107</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83</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2538</v>
      </c>
      <c r="AC15" s="224">
        <f>IF(ISNUMBER(Datos!Q15),Datos!Q15," - ")</f>
        <v>210</v>
      </c>
      <c r="AD15" s="224"/>
      <c r="AE15" s="224"/>
      <c r="AF15" s="224">
        <f>IF(ISNUMBER(IF(D_I="SI",Datos!L15,Datos!L15+Datos!AF15)),IF(D_I="SI",Datos!L15,Datos!L15+Datos!AF15)," - ")</f>
        <v>2713</v>
      </c>
      <c r="AG15" s="333"/>
      <c r="AH15" s="224"/>
      <c r="AI15" s="224"/>
      <c r="AJ15" s="224"/>
      <c r="AK15" s="333"/>
      <c r="AL15" s="478"/>
      <c r="AM15" s="224">
        <f>IF(ISNUMBER(Datos!R15),Datos!R15," - ")</f>
        <v>342</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341</v>
      </c>
      <c r="BD15" s="228">
        <f>IF(ISNUMBER(Datos!N15),Datos!N15," - ")</f>
        <v>1458</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1.2237222757955641</v>
      </c>
      <c r="BH15" s="224">
        <f>IF(ISNUMBER(((IF(D_I="SI",Datos!L15/Datos!K15,(Datos!L15+Datos!AF15)/(Datos!K15+Datos!AE15)))*11)/factor_trimestre),((IF(D_I="SI",Datos!L15/Datos!K15,(Datos!L15+Datos!AF15)/(Datos!K15+Datos!AE15)))*11)/factor_trimestre," - ")</f>
        <v>3.206855791962175</v>
      </c>
      <c r="BI15" s="242">
        <f>IF(ISNUMBER('Resol  Asuntos'!D15/NºAsuntos!G15),'Resol  Asuntos'!D15/NºAsuntos!G15," - ")</f>
        <v>0.13435776201733649</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811.61334174245019</v>
      </c>
      <c r="CF15" s="228">
        <f ca="1">AVERAGEIFS($AB:$AB,$BW:$BW,BW15,$BX:$BX,BX15)</f>
        <v>811.61334174245019</v>
      </c>
      <c r="CG15" s="1191">
        <v>0.7</v>
      </c>
      <c r="CH15" s="1191">
        <f ca="1">AVERAGEIF($BW:$BW,BW15,$AC:$AC)</f>
        <v>116.18181818181819</v>
      </c>
      <c r="CI15" s="228">
        <f ca="1">AVERAGEIFS($AC:$AC,$BW:$BW,BW15,$BX:$BX,BX15)</f>
        <v>116.18181818181819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840</v>
      </c>
      <c r="CR15" s="228">
        <f ca="1">AVERAGEIFS($AF:$AF,$BW:$BW,BW15,$BX:$BX,BX15)</f>
        <v>840</v>
      </c>
      <c r="CS15" s="1191">
        <v>1.3</v>
      </c>
      <c r="CT15" s="1191">
        <v>1.5</v>
      </c>
      <c r="CU15" s="1191">
        <f ca="1">AVERAGEIF($BW:$BW,$BW15,$AH:$AH)</f>
        <v>190.28571428571428</v>
      </c>
      <c r="CV15" s="228">
        <f ca="1">AVERAGEIFS($AH:$AH,$BW:$BW,$BW15,$BX:$BX,$BX15)</f>
        <v>190.28571428571428</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3493.3636363636365</v>
      </c>
      <c r="DH15" s="228">
        <f ca="1">AVERAGEIFS($AM:$AM,$BW:$BW,$BW15,$BX:$BX,$BX15)</f>
        <v>3493.3636363636365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27.612285804803026</v>
      </c>
      <c r="ER15" s="228">
        <f ca="1">AVERAGEIFS($BH:$BH,$BW:$BW,$BW15,$BX:$BX,$BX15)</f>
        <v>27.612285804803026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811.61334174245019</v>
      </c>
      <c r="CF16" s="228">
        <f ca="1">AVERAGEIFS($AB:$AB,$BW:$BW,BW16,$BX:$BX,BX16)</f>
        <v>811.61334174245019</v>
      </c>
      <c r="CG16" s="1191">
        <v>0.7</v>
      </c>
      <c r="CH16" s="1191">
        <f ca="1">AVERAGEIF($BW:$BW,BW16,$AC:$AC)</f>
        <v>116.18181818181819</v>
      </c>
      <c r="CI16" s="228">
        <f ca="1">AVERAGEIFS($AC:$AC,$BW:$BW,BW16,$BX:$BX,BX16)</f>
        <v>116.18181818181819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840</v>
      </c>
      <c r="CR16" s="228">
        <f ca="1">AVERAGEIFS($AF:$AF,$BW:$BW,BW16,$BX:$BX,BX16)</f>
        <v>840</v>
      </c>
      <c r="CS16" s="1191">
        <v>1.3</v>
      </c>
      <c r="CT16" s="1191">
        <v>1.5</v>
      </c>
      <c r="CU16" s="1191">
        <f ca="1">AVERAGEIF($BW:$BW,$BW16,$AH:$AH)</f>
        <v>190.28571428571428</v>
      </c>
      <c r="CV16" s="228">
        <f ca="1">AVERAGEIFS($AH:$AH,$BW:$BW,$BW16,$BX:$BX,$BX16)</f>
        <v>190.28571428571428</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3493.3636363636365</v>
      </c>
      <c r="DH16" s="228">
        <f ca="1">AVERAGEIFS($AM:$AM,$BW:$BW,$BW16,$BX:$BX,$BX16)</f>
        <v>3493.3636363636365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27.612285804803026</v>
      </c>
      <c r="ER16" s="228">
        <f ca="1">AVERAGEIFS($BH:$BH,$BW:$BW,$BW16,$BX:$BX,$BX16)</f>
        <v>27.612285804803026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f>IF(ISNUMBER(AF17+AB17-Datos!J17-L17),AF17+AB17-Datos!J17-L17," - ")</f>
        <v>1</v>
      </c>
      <c r="G17" s="596">
        <f>IF(ISNUMBER(IF(D_I="SI",Datos!I17,Datos!I17+Datos!AC17)),IF(D_I="SI",Datos!I17,Datos!I17+Datos!AC17)," - ")</f>
        <v>1</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0</v>
      </c>
      <c r="AC17" s="224">
        <f>IF(ISNUMBER(Datos!Q17),Datos!Q17," - ")</f>
        <v>0</v>
      </c>
      <c r="AD17" s="224"/>
      <c r="AE17" s="224"/>
      <c r="AF17" s="224">
        <f>IF(ISNUMBER(IF(D_I="SI",Datos!L17,Datos!L17+Datos!AF17)),IF(D_I="SI",Datos!L17,Datos!L17+Datos!AF17)," - ")</f>
        <v>1</v>
      </c>
      <c r="AG17" s="333"/>
      <c r="AH17" s="224"/>
      <c r="AI17" s="224"/>
      <c r="AJ17" s="224"/>
      <c r="AK17" s="333"/>
      <c r="AL17" s="478"/>
      <c r="AM17" s="224">
        <f>IF(ISNUMBER(Datos!R17),Datos!R17," - ")</f>
        <v>0</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0</v>
      </c>
      <c r="BD17" s="228">
        <f>IF(ISNUMBER(Datos!N17),Datos!N17," - ")</f>
        <v>0</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811.61334174245019</v>
      </c>
      <c r="CF17" s="228">
        <f ca="1">AVERAGEIFS($AB:$AB,$BW:$BW,BW17,$BX:$BX,BX17)</f>
        <v>811.61334174245019</v>
      </c>
      <c r="CG17" s="1191">
        <v>0.7</v>
      </c>
      <c r="CH17" s="1191">
        <f ca="1">AVERAGEIF($BW:$BW,BW17,$AC:$AC)</f>
        <v>116.18181818181819</v>
      </c>
      <c r="CI17" s="228">
        <f ca="1">AVERAGEIFS($AC:$AC,$BW:$BW,BW17,$BX:$BX,BX17)</f>
        <v>116.18181818181819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840</v>
      </c>
      <c r="CR17" s="228">
        <f ca="1">AVERAGEIFS($AF:$AF,$BW:$BW,BW17,$BX:$BX,BX17)</f>
        <v>840</v>
      </c>
      <c r="CS17" s="1191">
        <v>1.3</v>
      </c>
      <c r="CT17" s="1191">
        <v>1.5</v>
      </c>
      <c r="CU17" s="1191">
        <f ca="1">AVERAGEIF($BW:$BW,$BW17,$AH:$AH)</f>
        <v>190.28571428571428</v>
      </c>
      <c r="CV17" s="228">
        <f ca="1">AVERAGEIFS($AH:$AH,$BW:$BW,$BW17,$BX:$BX,$BX17)</f>
        <v>190.28571428571428</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3493.3636363636365</v>
      </c>
      <c r="DH17" s="228">
        <f ca="1">AVERAGEIFS($AM:$AM,$BW:$BW,$BW17,$BX:$BX,$BX17)</f>
        <v>3493.3636363636365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27.612285804803026</v>
      </c>
      <c r="ER17" s="228">
        <f ca="1">AVERAGEIFS($BH:$BH,$BW:$BW,$BW17,$BX:$BX,$BX17)</f>
        <v>27.612285804803026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56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v>
      </c>
      <c r="AC18" s="224">
        <f>IF(ISNUMBER(Datos!Q18),Datos!Q18," - ")</f>
        <v>0</v>
      </c>
      <c r="AD18" s="224"/>
      <c r="AE18" s="224"/>
      <c r="AF18" s="224">
        <f>IF(ISNUMBER(Datos!L18),Datos!L18,"-")</f>
        <v>55</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0</v>
      </c>
      <c r="BE18" s="224" t="str">
        <f>IF(ISNUMBER(Datos!BW18),Datos!BW18," - ")</f>
        <v xml:space="preserve"> - </v>
      </c>
      <c r="BF18" s="224" t="str">
        <f>IF(ISNUMBER(Datos!BX18),Datos!BX18," - ")</f>
        <v xml:space="preserve"> - </v>
      </c>
      <c r="BG18" s="242" t="str">
        <f>IF(ISNUMBER(IF(D_I="SI",Datos!K18/Datos!J18,(Datos!K18+Datos!AE18)/(Datos!J18+Datos!AD18))),IF(D_I="SI",Datos!K18/Datos!J18,(Datos!K18+Datos!AE18)/(Datos!J18+Datos!AD18))," - ")</f>
        <v xml:space="preserve"> - </v>
      </c>
      <c r="BH18" s="224">
        <f>IF(ISNUMBER(((IF(D_I="SI",Datos!L18/Datos!K18,(Datos!L18+Datos!AF18)/(Datos!K18+Datos!AE18)))*11)/factor_trimestre),((IF(D_I="SI",Datos!L18/Datos!K18,(Datos!L18+Datos!AF18)/(Datos!K18+Datos!AE18)))*11)/factor_trimestre," - ")</f>
        <v>165</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811.61334174245019</v>
      </c>
      <c r="CF18" s="228">
        <f ca="1">AVERAGEIFS($AB:$AB,$BW:$BW,BW18,$BX:$BX,BX18)</f>
        <v>811.61334174245019</v>
      </c>
      <c r="CG18" s="1191">
        <v>0.7</v>
      </c>
      <c r="CH18" s="1191">
        <f ca="1">AVERAGEIF($BW:$BW,BW18,$AC:$AC)</f>
        <v>116.18181818181819</v>
      </c>
      <c r="CI18" s="228">
        <f ca="1">AVERAGEIFS($AC:$AC,$BW:$BW,BW18,$BX:$BX,BX18)</f>
        <v>116.18181818181819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840</v>
      </c>
      <c r="CR18" s="228">
        <f ca="1">AVERAGEIFS($AF:$AF,$BW:$BW,BW18,$BX:$BX,BX18)</f>
        <v>840</v>
      </c>
      <c r="CS18" s="1191">
        <v>1.3</v>
      </c>
      <c r="CT18" s="1191">
        <v>1.5</v>
      </c>
      <c r="CU18" s="1191">
        <f ca="1">AVERAGEIF($BW:$BW,$BW18,$AH:$AH)</f>
        <v>190.28571428571428</v>
      </c>
      <c r="CV18" s="228">
        <f ca="1">AVERAGEIFS($AH:$AH,$BW:$BW,$BW18,$BX:$BX,$BX18)</f>
        <v>190.28571428571428</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3493.3636363636365</v>
      </c>
      <c r="DH18" s="228">
        <f ca="1">AVERAGEIFS($AM:$AM,$BW:$BW,$BW18,$BX:$BX,$BX18)</f>
        <v>3493.3636363636365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27.612285804803026</v>
      </c>
      <c r="ER18" s="228">
        <f ca="1">AVERAGEIFS($BH:$BH,$BW:$BW,$BW18,$BX:$BX,$BX18)</f>
        <v>27.612285804803026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3</v>
      </c>
      <c r="F19" s="895">
        <f>SUBTOTAL(9,F15:F18)</f>
        <v>3178</v>
      </c>
      <c r="G19" s="895">
        <f>SUBTOTAL(9,G15:G18)</f>
        <v>3164</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83</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2539</v>
      </c>
      <c r="AC19" s="896">
        <f t="shared" si="5"/>
        <v>210</v>
      </c>
      <c r="AD19" s="896">
        <f t="shared" si="5"/>
        <v>0</v>
      </c>
      <c r="AE19" s="896">
        <f t="shared" si="5"/>
        <v>0</v>
      </c>
      <c r="AF19" s="896">
        <f t="shared" si="5"/>
        <v>2769</v>
      </c>
      <c r="AG19" s="896">
        <f t="shared" si="5"/>
        <v>0</v>
      </c>
      <c r="AH19" s="896">
        <f t="shared" si="5"/>
        <v>0</v>
      </c>
      <c r="AI19" s="896">
        <f t="shared" si="5"/>
        <v>0</v>
      </c>
      <c r="AJ19" s="896">
        <f t="shared" si="5"/>
        <v>0</v>
      </c>
      <c r="AK19" s="896">
        <f t="shared" si="5"/>
        <v>0</v>
      </c>
      <c r="AL19" s="896">
        <f t="shared" si="5"/>
        <v>0</v>
      </c>
      <c r="AM19" s="896">
        <f t="shared" si="5"/>
        <v>342</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341</v>
      </c>
      <c r="BD19" s="896">
        <f t="shared" si="5"/>
        <v>1458</v>
      </c>
      <c r="BE19" s="896">
        <f t="shared" si="5"/>
        <v>0</v>
      </c>
      <c r="BF19" s="896">
        <f t="shared" si="5"/>
        <v>0</v>
      </c>
      <c r="BG19" s="896">
        <f>IF(ISNUMBER(Datos!K19/Datos!J19),Datos!K19/Datos!J19," - ")</f>
        <v>1.2242044358727098</v>
      </c>
      <c r="BH19" s="900">
        <f>IF(ISNUMBER(((Datos!L19/Datos!K19)*11)/factor_trimestre),((Datos!L19/Datos!K19)*11)/factor_trimestre," - ")</f>
        <v>3.2717605356439545</v>
      </c>
      <c r="BI19" s="896">
        <f>SUBTOTAL(9,BI15:BI18)</f>
        <v>0.13435776201733649</v>
      </c>
      <c r="BJ19" s="896">
        <f>SUBTOTAL(9,BJ15:BJ18)</f>
        <v>0</v>
      </c>
      <c r="BK19" s="896">
        <f>SUBTOTAL(9,BK15:BK18)</f>
        <v>0</v>
      </c>
      <c r="BL19" s="896">
        <f>IF(ISNUMBER((I19-AB19+L19)/(F19)),(I19-AB19+L19)/(F19)," - ")</f>
        <v>-0.79893014474512269</v>
      </c>
      <c r="BM19" s="902">
        <f>IF(ISNUMBER((Datos!P19-Datos!Q19)/(Datos!R19-Datos!P19+Datos!Q19)),(Datos!P19-Datos!Q19)/(Datos!R19-Datos!P19+Datos!Q19)," - ")</f>
        <v>-0.27078891257995735</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9</v>
      </c>
      <c r="F20" s="817">
        <f t="shared" si="7"/>
        <v>3209</v>
      </c>
      <c r="G20" s="817">
        <f t="shared" si="7"/>
        <v>3195</v>
      </c>
      <c r="H20" s="819">
        <f t="shared" si="7"/>
        <v>0</v>
      </c>
      <c r="I20" s="817">
        <f t="shared" si="7"/>
        <v>0</v>
      </c>
      <c r="J20" s="819">
        <f t="shared" si="7"/>
        <v>0</v>
      </c>
      <c r="K20" s="819">
        <f t="shared" si="7"/>
        <v>0</v>
      </c>
      <c r="L20" s="878">
        <f t="shared" si="7"/>
        <v>0</v>
      </c>
      <c r="M20" s="878">
        <f t="shared" si="7"/>
        <v>0</v>
      </c>
      <c r="N20" s="878">
        <f t="shared" si="7"/>
        <v>249</v>
      </c>
      <c r="O20" s="878">
        <f t="shared" si="7"/>
        <v>0</v>
      </c>
      <c r="P20" s="878">
        <f t="shared" si="7"/>
        <v>0</v>
      </c>
      <c r="Q20" s="819">
        <f t="shared" si="7"/>
        <v>682</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2539</v>
      </c>
      <c r="AC20" s="818">
        <f t="shared" si="8"/>
        <v>426</v>
      </c>
      <c r="AD20" s="818">
        <f t="shared" si="8"/>
        <v>0</v>
      </c>
      <c r="AE20" s="818">
        <f t="shared" si="8"/>
        <v>0</v>
      </c>
      <c r="AF20" s="825">
        <f t="shared" si="8"/>
        <v>2800</v>
      </c>
      <c r="AG20" s="825">
        <f t="shared" si="8"/>
        <v>0</v>
      </c>
      <c r="AH20" s="825">
        <f t="shared" si="8"/>
        <v>444</v>
      </c>
      <c r="AI20" s="825">
        <f t="shared" si="8"/>
        <v>0</v>
      </c>
      <c r="AJ20" s="818">
        <f t="shared" si="8"/>
        <v>0</v>
      </c>
      <c r="AK20" s="825">
        <f t="shared" si="8"/>
        <v>0</v>
      </c>
      <c r="AL20" s="825">
        <f t="shared" si="8"/>
        <v>0</v>
      </c>
      <c r="AM20" s="825">
        <f t="shared" si="8"/>
        <v>12809</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1456</v>
      </c>
      <c r="BD20" s="817">
        <f t="shared" si="8"/>
        <v>3100</v>
      </c>
      <c r="BE20" s="817">
        <f t="shared" si="8"/>
        <v>0</v>
      </c>
      <c r="BF20" s="827">
        <f t="shared" si="8"/>
        <v>0</v>
      </c>
      <c r="BG20" s="912">
        <f>IF(ISNUMBER(Datos!K20/Datos!J20),Datos!K20/Datos!J20," - ")</f>
        <v>0.94979716024340766</v>
      </c>
      <c r="BH20" s="912">
        <f>IF(ISNUMBER(((Datos!L20/Datos!K20)*11)/factor_trimestre),((Datos!L20/Datos!K20)*11)/factor_trimestre," - ")</f>
        <v>8.6438868126001065</v>
      </c>
      <c r="BI20" s="810">
        <f>IF(ISNUMBER(Datos!J20/Datos!I20),Datos!J20/Datos!I20," - ")</f>
        <v>0.37388611514883396</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-0.79121221564350264</v>
      </c>
      <c r="BM20" s="886">
        <f>IF(ISNUMBER((Datos!P20-Datos!Q20+R20)/(Datos!R20-Datos!P20+Datos!Q20-R20)),(Datos!P20-Datos!Q20+R20)/(Datos!R20-Datos!P20+Datos!Q20-R20)," - ")</f>
        <v>2.0393531426750579E-2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1065</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2.5298221281347035</v>
      </c>
      <c r="F22" s="550">
        <f>IF(ISNUMBER(STDEV(F8:F19)),STDEV(F8:F19),"-")</f>
        <v>1728.9296688992297</v>
      </c>
      <c r="G22" s="551">
        <f>IF(ISNUMBER(STDEV(G8:G19)),STDEV(G8:G19),"-")</f>
        <v>1603.99837905155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1310.7467591669515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501.26839118380485</v>
      </c>
      <c r="BD22" s="550"/>
      <c r="BE22" s="550">
        <f>IF(ISNUMBER(STDEV(BE8:BE19)),STDEV(BE8:BE19),"-")</f>
        <v>0</v>
      </c>
      <c r="BF22" s="555">
        <f>IF(ISNUMBER(STDEV(BF8:BF19)),STDEV(BF8:BF19),"-")</f>
        <v>0</v>
      </c>
      <c r="BG22" s="772">
        <f>IF(ISNUMBER(STDEV(BG8:BG19)),STDEV(BG8:BG19),"-")</f>
        <v>0.24217479028602518</v>
      </c>
      <c r="BH22" s="773">
        <f>IF(ISNUMBER(STDEV(BH8:BH19)),STDEV(BH8:BH19),"-")</f>
        <v>70.363011347660347</v>
      </c>
      <c r="BI22" s="248">
        <f>IF(ISNUMBER(STDEV(BI8:BI19)),STDEV(BI8:BI19),"-")</f>
        <v>0.13923923725386086</v>
      </c>
      <c r="BJ22" s="986" t="str">
        <f>IF(ISNUMBER(BL22/BM22),BL22/BM22," - ")</f>
        <v xml:space="preserve"> - </v>
      </c>
      <c r="BK22" s="574"/>
      <c r="BL22" s="558">
        <f>IF(ISNUMBER(STDEV(BL8:BL19)),STDEV(BL8:BL19),"-")</f>
        <v>0.56492892304362619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gtAF0CGnTXd8gy0jLxfxpM2ll+nSRdDSn+oImN8riJwHTaGS11lFs5f1d3IY2KHR40SvSx9I2peOUNagMizRpw==" saltValue="VzwH9mRoZXNpblgvxHzWR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CANARIAS</v>
      </c>
    </row>
    <row r="2" spans="1:146" ht="16.5" customHeight="1">
      <c r="C2" s="487" t="str">
        <f>Criterios!A10 &amp;"  "&amp;Criterios!B10 &amp; "  " &amp; IF(NOT(ISBLANK(Criterios!A11)),Criterios!A11 &amp;"  "&amp;Criterios!B11,"")</f>
        <v>Provincias  LAS PALMAS  Resumenes por Partidos Judiciales  TELDE</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0.33757190432939754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0.23869938268937346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JPmqdfmDicRUnHY6/4Nw25MpwGsneBLTIKQ2wS6xJc2vqXwL/QdLi90TRXeC9w8bDi1AI8OwyYI90oFUXl50JA==" saltValue="621+wc6JORA26Im/T54gL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CANARIAS</v>
      </c>
      <c r="B4" s="787" t="str">
        <f>IF(Criterios!B10=0,"",Criterios!B10)</f>
        <v>LAS PALMAS</v>
      </c>
      <c r="C4" s="787" t="str">
        <f>IF(Criterios!B11=0,"",Criterios!B11)</f>
        <v>TELDE</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xmmzkq/PAwpApEK/REpZWExofn3Y40FlfUqad6p7a4tYU2EjO4lYJhSUa/BLIT/ddyPPN8C3fyFNOrH9rKHyow==" saltValue="kXtytHwZmRloy91XY1zks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2026-10-06T12:26:29Z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